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elenco pers" sheetId="2" r:id="rId1"/>
    <sheet name="Parametri" sheetId="3" r:id="rId2"/>
  </sheets>
  <definedNames>
    <definedName name="_xlnm.Print_Area" localSheetId="0">'elenco pers'!$A$1:$L$285</definedName>
  </definedNames>
  <calcPr calcId="125725"/>
</workbook>
</file>

<file path=xl/calcChain.xml><?xml version="1.0" encoding="utf-8"?>
<calcChain xmlns="http://schemas.openxmlformats.org/spreadsheetml/2006/main">
  <c r="I31" i="2"/>
  <c r="I171"/>
  <c r="I142"/>
  <c r="I110"/>
  <c r="I187"/>
  <c r="I76" l="1"/>
  <c r="I210"/>
  <c r="I106"/>
  <c r="I229"/>
  <c r="I209"/>
  <c r="I105"/>
  <c r="I138"/>
  <c r="I254"/>
  <c r="I104"/>
  <c r="I208"/>
  <c r="I103"/>
  <c r="I151"/>
  <c r="I102"/>
  <c r="I101"/>
  <c r="I100"/>
  <c r="I99"/>
  <c r="I98"/>
  <c r="I97"/>
  <c r="I137"/>
  <c r="I166"/>
  <c r="I96"/>
  <c r="I95"/>
  <c r="I94"/>
  <c r="I136"/>
  <c r="I135"/>
  <c r="I134"/>
  <c r="I133"/>
  <c r="I253"/>
  <c r="I93"/>
  <c r="I92"/>
  <c r="I132"/>
  <c r="I252"/>
  <c r="I150"/>
  <c r="I267"/>
  <c r="I91"/>
  <c r="I90"/>
  <c r="I207"/>
  <c r="I89"/>
  <c r="I131"/>
  <c r="I228"/>
  <c r="I88"/>
  <c r="I206"/>
  <c r="I87"/>
  <c r="I205"/>
  <c r="I86"/>
  <c r="I227"/>
  <c r="I204"/>
  <c r="I182"/>
  <c r="I85"/>
  <c r="I203"/>
  <c r="I84"/>
  <c r="I83"/>
  <c r="I202"/>
  <c r="I82"/>
  <c r="I81"/>
  <c r="I251"/>
  <c r="I130"/>
  <c r="I80"/>
  <c r="I79"/>
  <c r="I78"/>
  <c r="I129"/>
  <c r="I77"/>
  <c r="I201"/>
  <c r="I75"/>
  <c r="I74"/>
  <c r="I165"/>
  <c r="I250"/>
  <c r="I128"/>
  <c r="I73"/>
  <c r="I72"/>
  <c r="I71"/>
  <c r="I127"/>
  <c r="I70"/>
  <c r="I226"/>
  <c r="I69"/>
  <c r="I68"/>
  <c r="I67"/>
  <c r="I66"/>
  <c r="I65"/>
  <c r="I64"/>
  <c r="I63"/>
  <c r="I62"/>
  <c r="I61"/>
  <c r="I60"/>
  <c r="I59"/>
  <c r="I58"/>
  <c r="I57"/>
  <c r="I56"/>
  <c r="I55"/>
  <c r="I54"/>
  <c r="I53"/>
  <c r="I126"/>
  <c r="I225"/>
  <c r="I52"/>
  <c r="I200"/>
  <c r="I51"/>
  <c r="I224"/>
  <c r="I50"/>
  <c r="I49"/>
  <c r="I48"/>
  <c r="I164"/>
  <c r="I249"/>
  <c r="I47"/>
  <c r="I181"/>
  <c r="I199"/>
  <c r="I46"/>
  <c r="I248"/>
  <c r="I125"/>
  <c r="I45"/>
  <c r="I44"/>
  <c r="I43"/>
  <c r="I42"/>
  <c r="I124"/>
  <c r="I123"/>
  <c r="I198"/>
  <c r="I163"/>
  <c r="I41"/>
  <c r="I40"/>
  <c r="I122"/>
  <c r="I39"/>
  <c r="I197"/>
  <c r="I223"/>
  <c r="I121"/>
  <c r="I38"/>
  <c r="I37"/>
  <c r="I196"/>
  <c r="I120"/>
  <c r="I36"/>
  <c r="I195"/>
  <c r="I35"/>
  <c r="I34"/>
  <c r="I33"/>
  <c r="I32"/>
  <c r="I247" l="1"/>
  <c r="I119"/>
  <c r="I246"/>
  <c r="I118"/>
  <c r="I180"/>
  <c r="I30"/>
  <c r="I29"/>
  <c r="I149"/>
  <c r="I222"/>
  <c r="I179"/>
  <c r="I178"/>
  <c r="I244"/>
  <c r="I28"/>
  <c r="I243"/>
  <c r="I117"/>
  <c r="I27"/>
  <c r="I26"/>
  <c r="I266"/>
  <c r="I25"/>
  <c r="I24"/>
  <c r="I23"/>
  <c r="I194"/>
  <c r="I22"/>
  <c r="I242"/>
  <c r="I20"/>
  <c r="I21"/>
  <c r="I19"/>
  <c r="I18"/>
  <c r="I17"/>
  <c r="I16"/>
  <c r="I15"/>
  <c r="I162"/>
  <c r="I14"/>
  <c r="I13" l="1"/>
  <c r="K207"/>
  <c r="I272"/>
  <c r="I258"/>
  <c r="I234"/>
  <c r="I214"/>
  <c r="I155"/>
  <c r="K227" l="1"/>
  <c r="G227"/>
  <c r="K223"/>
  <c r="G223"/>
  <c r="K182"/>
  <c r="G182"/>
  <c r="K181"/>
  <c r="G181"/>
  <c r="K178"/>
  <c r="G178"/>
  <c r="K45"/>
  <c r="G45"/>
  <c r="K31"/>
  <c r="G31"/>
  <c r="K202"/>
  <c r="G202"/>
  <c r="F212"/>
  <c r="K47"/>
  <c r="G47"/>
  <c r="G207"/>
  <c r="K204"/>
  <c r="G204"/>
  <c r="K83"/>
  <c r="G83"/>
  <c r="K200"/>
  <c r="G200"/>
  <c r="K205"/>
  <c r="G205"/>
  <c r="K103"/>
  <c r="G103"/>
  <c r="K98"/>
  <c r="G98"/>
  <c r="K134"/>
  <c r="G134"/>
  <c r="K131"/>
  <c r="G131"/>
  <c r="K118"/>
  <c r="G118"/>
  <c r="K133"/>
  <c r="G133"/>
  <c r="K125"/>
  <c r="G125"/>
  <c r="K16"/>
  <c r="G16"/>
  <c r="F166"/>
  <c r="G166" s="1"/>
  <c r="F164"/>
  <c r="G164" s="1"/>
  <c r="F165"/>
  <c r="F162"/>
  <c r="F76"/>
  <c r="F108" s="1"/>
  <c r="I271"/>
  <c r="F270"/>
  <c r="D270"/>
  <c r="K266"/>
  <c r="K267"/>
  <c r="K268"/>
  <c r="G268"/>
  <c r="G267"/>
  <c r="G266"/>
  <c r="K21"/>
  <c r="G13"/>
  <c r="G21"/>
  <c r="K245"/>
  <c r="K246"/>
  <c r="K247"/>
  <c r="K248"/>
  <c r="K249"/>
  <c r="K250"/>
  <c r="K251"/>
  <c r="K252"/>
  <c r="K253"/>
  <c r="K254"/>
  <c r="K19"/>
  <c r="F256"/>
  <c r="F232"/>
  <c r="D232"/>
  <c r="D212"/>
  <c r="K197"/>
  <c r="K198"/>
  <c r="K199"/>
  <c r="K201"/>
  <c r="K203"/>
  <c r="K206"/>
  <c r="K208"/>
  <c r="K209"/>
  <c r="K210"/>
  <c r="K194"/>
  <c r="F185"/>
  <c r="D185"/>
  <c r="K180"/>
  <c r="K183"/>
  <c r="I170"/>
  <c r="K167"/>
  <c r="K136"/>
  <c r="K137"/>
  <c r="K138"/>
  <c r="K162"/>
  <c r="K164"/>
  <c r="I154"/>
  <c r="F153"/>
  <c r="D153"/>
  <c r="I109"/>
  <c r="I141"/>
  <c r="F140"/>
  <c r="D140"/>
  <c r="K91"/>
  <c r="K85"/>
  <c r="K86"/>
  <c r="K63"/>
  <c r="K64"/>
  <c r="K65"/>
  <c r="K66"/>
  <c r="K67"/>
  <c r="K68"/>
  <c r="K69"/>
  <c r="K70"/>
  <c r="K13"/>
  <c r="G250"/>
  <c r="G246"/>
  <c r="G201"/>
  <c r="G194"/>
  <c r="G199"/>
  <c r="G210"/>
  <c r="G209"/>
  <c r="G195"/>
  <c r="G180"/>
  <c r="G138"/>
  <c r="G91"/>
  <c r="G85"/>
  <c r="G70"/>
  <c r="G64"/>
  <c r="G68"/>
  <c r="I233"/>
  <c r="F169" l="1"/>
  <c r="G270"/>
  <c r="K271"/>
  <c r="G167"/>
  <c r="K163"/>
  <c r="K165"/>
  <c r="G129"/>
  <c r="G130"/>
  <c r="G135"/>
  <c r="G137"/>
  <c r="G132"/>
  <c r="G121"/>
  <c r="G122"/>
  <c r="G128"/>
  <c r="G136"/>
  <c r="G120"/>
  <c r="G124"/>
  <c r="G123"/>
  <c r="G198"/>
  <c r="G203"/>
  <c r="G206"/>
  <c r="G208"/>
  <c r="G197"/>
  <c r="K195"/>
  <c r="K126"/>
  <c r="K34"/>
  <c r="K179"/>
  <c r="K242"/>
  <c r="K243"/>
  <c r="K244"/>
  <c r="K119"/>
  <c r="K121"/>
  <c r="K122"/>
  <c r="K123"/>
  <c r="K124"/>
  <c r="K127"/>
  <c r="K128"/>
  <c r="K129"/>
  <c r="K130"/>
  <c r="K132"/>
  <c r="K135"/>
  <c r="K120"/>
  <c r="K149"/>
  <c r="K150"/>
  <c r="K151"/>
  <c r="K224"/>
  <c r="K225"/>
  <c r="K226"/>
  <c r="K228"/>
  <c r="K229"/>
  <c r="K222"/>
  <c r="G224"/>
  <c r="G225"/>
  <c r="G226"/>
  <c r="G228"/>
  <c r="G229"/>
  <c r="G222"/>
  <c r="G117"/>
  <c r="K15"/>
  <c r="K18"/>
  <c r="K17"/>
  <c r="G19"/>
  <c r="G20"/>
  <c r="G22"/>
  <c r="G23"/>
  <c r="G24"/>
  <c r="G25"/>
  <c r="G26"/>
  <c r="G27"/>
  <c r="G28"/>
  <c r="G30"/>
  <c r="G32"/>
  <c r="G33"/>
  <c r="G34"/>
  <c r="G35"/>
  <c r="G36"/>
  <c r="G196"/>
  <c r="G37"/>
  <c r="G38"/>
  <c r="G39"/>
  <c r="G40"/>
  <c r="G41"/>
  <c r="G163"/>
  <c r="G42"/>
  <c r="G43"/>
  <c r="G44"/>
  <c r="G46"/>
  <c r="G48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9"/>
  <c r="G71"/>
  <c r="G72"/>
  <c r="G74"/>
  <c r="G75"/>
  <c r="G76"/>
  <c r="G78"/>
  <c r="G79"/>
  <c r="G80"/>
  <c r="G81"/>
  <c r="G82"/>
  <c r="G86"/>
  <c r="G87"/>
  <c r="G88"/>
  <c r="G89"/>
  <c r="G90"/>
  <c r="G92"/>
  <c r="G93"/>
  <c r="G94"/>
  <c r="G95"/>
  <c r="G96"/>
  <c r="G97"/>
  <c r="G99"/>
  <c r="G100"/>
  <c r="G101"/>
  <c r="G102"/>
  <c r="G104"/>
  <c r="G105"/>
  <c r="G106"/>
  <c r="G17"/>
  <c r="G18"/>
  <c r="K20"/>
  <c r="K22"/>
  <c r="K23"/>
  <c r="K24"/>
  <c r="K25"/>
  <c r="K27"/>
  <c r="K28"/>
  <c r="K29"/>
  <c r="K30"/>
  <c r="K32"/>
  <c r="K33"/>
  <c r="K35"/>
  <c r="K36"/>
  <c r="K196"/>
  <c r="K37"/>
  <c r="K38"/>
  <c r="K39"/>
  <c r="K40"/>
  <c r="K41"/>
  <c r="K166"/>
  <c r="K42"/>
  <c r="K43"/>
  <c r="K44"/>
  <c r="K46"/>
  <c r="K48"/>
  <c r="K49"/>
  <c r="K50"/>
  <c r="K51"/>
  <c r="K52"/>
  <c r="K53"/>
  <c r="K54"/>
  <c r="K55"/>
  <c r="K56"/>
  <c r="K57"/>
  <c r="K58"/>
  <c r="K59"/>
  <c r="K60"/>
  <c r="K61"/>
  <c r="K62"/>
  <c r="K71"/>
  <c r="K72"/>
  <c r="K73"/>
  <c r="K74"/>
  <c r="K75"/>
  <c r="K76"/>
  <c r="K77"/>
  <c r="K78"/>
  <c r="K79"/>
  <c r="K80"/>
  <c r="K81"/>
  <c r="K82"/>
  <c r="K84"/>
  <c r="K87"/>
  <c r="K88"/>
  <c r="K89"/>
  <c r="K90"/>
  <c r="K92"/>
  <c r="K93"/>
  <c r="K94"/>
  <c r="K95"/>
  <c r="K96"/>
  <c r="K97"/>
  <c r="K99"/>
  <c r="K100"/>
  <c r="K101"/>
  <c r="K102"/>
  <c r="K104"/>
  <c r="K105"/>
  <c r="K106"/>
  <c r="K14"/>
  <c r="G244"/>
  <c r="G15"/>
  <c r="K26"/>
  <c r="K213" l="1"/>
  <c r="K109"/>
  <c r="K170"/>
  <c r="K154"/>
  <c r="G212"/>
  <c r="K257"/>
  <c r="I213"/>
  <c r="K186"/>
  <c r="K233"/>
  <c r="K117"/>
  <c r="K141" s="1"/>
  <c r="G232"/>
  <c r="G126"/>
  <c r="G249"/>
  <c r="G245"/>
  <c r="G248"/>
  <c r="G254"/>
  <c r="G243"/>
  <c r="G14"/>
  <c r="G252"/>
  <c r="G183"/>
  <c r="G165"/>
  <c r="D77"/>
  <c r="G77" s="1"/>
  <c r="I257"/>
  <c r="I186"/>
  <c r="G253"/>
  <c r="G149"/>
  <c r="G179"/>
  <c r="G119"/>
  <c r="C31" i="3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1"/>
  <c r="C21"/>
  <c r="C10"/>
  <c r="D251" i="2"/>
  <c r="D256" s="1"/>
  <c r="D169"/>
  <c r="D84"/>
  <c r="G84" s="1"/>
  <c r="D73"/>
  <c r="G73" s="1"/>
  <c r="D29"/>
  <c r="G247"/>
  <c r="G242"/>
  <c r="G127"/>
  <c r="G151"/>
  <c r="G162"/>
  <c r="G150"/>
  <c r="G185" l="1"/>
  <c r="G140"/>
  <c r="D108"/>
  <c r="G153"/>
  <c r="G29"/>
  <c r="G108" s="1"/>
  <c r="G169"/>
  <c r="G251"/>
  <c r="G256" s="1"/>
  <c r="G279" l="1"/>
  <c r="H169" l="1"/>
  <c r="L164" s="1"/>
  <c r="H140"/>
  <c r="H185"/>
  <c r="L207" s="1"/>
  <c r="H153"/>
  <c r="L150" s="1"/>
  <c r="H212"/>
  <c r="H270"/>
  <c r="L267" s="1"/>
  <c r="H108"/>
  <c r="H256"/>
  <c r="L245" s="1"/>
  <c r="H232"/>
  <c r="L223" l="1"/>
  <c r="L227"/>
  <c r="L182"/>
  <c r="L178"/>
  <c r="L181"/>
  <c r="L202"/>
  <c r="L31"/>
  <c r="L45"/>
  <c r="L83"/>
  <c r="L47"/>
  <c r="L200"/>
  <c r="L204"/>
  <c r="L103"/>
  <c r="L183"/>
  <c r="L205"/>
  <c r="L134"/>
  <c r="L98"/>
  <c r="L118"/>
  <c r="L131"/>
  <c r="L162"/>
  <c r="L163"/>
  <c r="L166"/>
  <c r="L167"/>
  <c r="L165"/>
  <c r="L133"/>
  <c r="L125"/>
  <c r="L13"/>
  <c r="L16"/>
  <c r="L268"/>
  <c r="L203"/>
  <c r="L194"/>
  <c r="L198"/>
  <c r="L225"/>
  <c r="L228"/>
  <c r="L249"/>
  <c r="L247"/>
  <c r="L201"/>
  <c r="L222"/>
  <c r="L226"/>
  <c r="L180"/>
  <c r="L199"/>
  <c r="L195"/>
  <c r="L151"/>
  <c r="L149"/>
  <c r="L129"/>
  <c r="L209"/>
  <c r="L197"/>
  <c r="L208"/>
  <c r="L229"/>
  <c r="L206"/>
  <c r="L266"/>
  <c r="L210"/>
  <c r="L184"/>
  <c r="L179"/>
  <c r="L224"/>
  <c r="L56"/>
  <c r="L50"/>
  <c r="L67"/>
  <c r="L86"/>
  <c r="L246"/>
  <c r="L121"/>
  <c r="L91"/>
  <c r="L64"/>
  <c r="L25"/>
  <c r="L38"/>
  <c r="L82"/>
  <c r="L58"/>
  <c r="L101"/>
  <c r="L68"/>
  <c r="L138"/>
  <c r="L93"/>
  <c r="L18"/>
  <c r="L43"/>
  <c r="L53"/>
  <c r="L35"/>
  <c r="L250"/>
  <c r="L253"/>
  <c r="L21"/>
  <c r="L34"/>
  <c r="L30"/>
  <c r="L84"/>
  <c r="L42"/>
  <c r="L126"/>
  <c r="L117"/>
  <c r="L243"/>
  <c r="L20"/>
  <c r="L27"/>
  <c r="L52"/>
  <c r="L130"/>
  <c r="L97"/>
  <c r="L104"/>
  <c r="L119"/>
  <c r="L105"/>
  <c r="L106"/>
  <c r="L63"/>
  <c r="L99"/>
  <c r="L102"/>
  <c r="L124"/>
  <c r="L122"/>
  <c r="L78"/>
  <c r="L65"/>
  <c r="L123"/>
  <c r="L41"/>
  <c r="L70"/>
  <c r="L71"/>
  <c r="L72"/>
  <c r="L32"/>
  <c r="L90"/>
  <c r="L54"/>
  <c r="L137"/>
  <c r="L135"/>
  <c r="L44"/>
  <c r="L28"/>
  <c r="L49"/>
  <c r="L81"/>
  <c r="L48"/>
  <c r="L80"/>
  <c r="L17"/>
  <c r="L23"/>
  <c r="L79"/>
  <c r="L120"/>
  <c r="L46"/>
  <c r="L61"/>
  <c r="L15"/>
  <c r="L100"/>
  <c r="L60"/>
  <c r="L96"/>
  <c r="L59"/>
  <c r="L95"/>
  <c r="L33"/>
  <c r="L74"/>
  <c r="L75"/>
  <c r="L76"/>
  <c r="L85"/>
  <c r="L69"/>
  <c r="L136"/>
  <c r="L254"/>
  <c r="L251"/>
  <c r="L244"/>
  <c r="H281"/>
  <c r="L37"/>
  <c r="L94"/>
  <c r="L26"/>
  <c r="L55"/>
  <c r="L127"/>
  <c r="L29"/>
  <c r="L19"/>
  <c r="L196"/>
  <c r="L128"/>
  <c r="L77"/>
  <c r="L40"/>
  <c r="L66"/>
  <c r="L92"/>
  <c r="L24"/>
  <c r="L39"/>
  <c r="L57"/>
  <c r="L36"/>
  <c r="L62"/>
  <c r="L51"/>
  <c r="L14"/>
  <c r="L87"/>
  <c r="L88"/>
  <c r="L89"/>
  <c r="L73"/>
  <c r="L132"/>
  <c r="L252"/>
  <c r="L242"/>
  <c r="L248"/>
  <c r="L22"/>
  <c r="L188" l="1"/>
  <c r="L215"/>
  <c r="L216" s="1"/>
  <c r="L172"/>
  <c r="L173" s="1"/>
  <c r="L143"/>
  <c r="L144" s="1"/>
  <c r="L273"/>
  <c r="L274" s="1"/>
  <c r="L156"/>
  <c r="L157" s="1"/>
  <c r="L235"/>
  <c r="L236" s="1"/>
  <c r="L189"/>
  <c r="L259"/>
  <c r="L260" s="1"/>
  <c r="L111"/>
  <c r="L112" s="1"/>
  <c r="L283" l="1"/>
</calcChain>
</file>

<file path=xl/sharedStrings.xml><?xml version="1.0" encoding="utf-8"?>
<sst xmlns="http://schemas.openxmlformats.org/spreadsheetml/2006/main" count="865" uniqueCount="259">
  <si>
    <t>D1</t>
  </si>
  <si>
    <t>C1</t>
  </si>
  <si>
    <t>B3</t>
  </si>
  <si>
    <t>B1</t>
  </si>
  <si>
    <t>A1</t>
  </si>
  <si>
    <t>30/36</t>
  </si>
  <si>
    <t>18/36</t>
  </si>
  <si>
    <t>36/36</t>
  </si>
  <si>
    <t>24/36</t>
  </si>
  <si>
    <t>Orario sett.</t>
  </si>
  <si>
    <t>% presenza</t>
  </si>
  <si>
    <t>Posiz.ec.</t>
  </si>
  <si>
    <t>B4</t>
  </si>
  <si>
    <t>B5</t>
  </si>
  <si>
    <t>B7</t>
  </si>
  <si>
    <t>C4</t>
  </si>
  <si>
    <t>C3</t>
  </si>
  <si>
    <t>C5</t>
  </si>
  <si>
    <t>B6</t>
  </si>
  <si>
    <t>C2</t>
  </si>
  <si>
    <t>A3</t>
  </si>
  <si>
    <t>A4</t>
  </si>
  <si>
    <t>PRODUTTIVITA' 2009 - CASTEL SAN GIOVANNI</t>
  </si>
  <si>
    <t>PARAMETRI</t>
  </si>
  <si>
    <t>Cat./p.e.</t>
  </si>
  <si>
    <t>Stip.tabellare</t>
  </si>
  <si>
    <t>Parametro</t>
  </si>
  <si>
    <t>A2</t>
  </si>
  <si>
    <t>A5</t>
  </si>
  <si>
    <t>B2</t>
  </si>
  <si>
    <t>D2</t>
  </si>
  <si>
    <t>D3</t>
  </si>
  <si>
    <t>D4</t>
  </si>
  <si>
    <t>D5</t>
  </si>
  <si>
    <t>D6</t>
  </si>
  <si>
    <t>Param.indiv.</t>
  </si>
  <si>
    <t>Param.rapportato</t>
  </si>
  <si>
    <t>a %presenza</t>
  </si>
  <si>
    <t>Budget di</t>
  </si>
  <si>
    <t>nucleo</t>
  </si>
  <si>
    <t>Punteggio</t>
  </si>
  <si>
    <t>individuale</t>
  </si>
  <si>
    <t>IMPORTO DA</t>
  </si>
  <si>
    <t>LIQUIDARE</t>
  </si>
  <si>
    <t>32/36</t>
  </si>
  <si>
    <t>serv.gen</t>
  </si>
  <si>
    <t>MATRIC.</t>
  </si>
  <si>
    <t>2/0083</t>
  </si>
  <si>
    <t>2/0087</t>
  </si>
  <si>
    <t>2/0100</t>
  </si>
  <si>
    <t>2/0039</t>
  </si>
  <si>
    <t>2/0129</t>
  </si>
  <si>
    <t>2/0059</t>
  </si>
  <si>
    <t>2/0084</t>
  </si>
  <si>
    <t>2/0025</t>
  </si>
  <si>
    <t>2/0099</t>
  </si>
  <si>
    <t>2/0027</t>
  </si>
  <si>
    <t>2/0102</t>
  </si>
  <si>
    <t>2/0113</t>
  </si>
  <si>
    <t>2/0048</t>
  </si>
  <si>
    <t>2/0078</t>
  </si>
  <si>
    <t>2/0082</t>
  </si>
  <si>
    <t>2/0098</t>
  </si>
  <si>
    <t>2/0108</t>
  </si>
  <si>
    <t>2/0109</t>
  </si>
  <si>
    <t>2/0124</t>
  </si>
  <si>
    <t>2/0127</t>
  </si>
  <si>
    <t>2/0037</t>
  </si>
  <si>
    <t>2/0128</t>
  </si>
  <si>
    <t>2/0114</t>
  </si>
  <si>
    <t>2/0038</t>
  </si>
  <si>
    <t>2/0066</t>
  </si>
  <si>
    <t>2/0089</t>
  </si>
  <si>
    <t>2/0151</t>
  </si>
  <si>
    <t>2/0138</t>
  </si>
  <si>
    <t>2/0046</t>
  </si>
  <si>
    <t>2/0047</t>
  </si>
  <si>
    <t>2/0051</t>
  </si>
  <si>
    <t>2/0050</t>
  </si>
  <si>
    <t>2/0145</t>
  </si>
  <si>
    <t>2/0154</t>
  </si>
  <si>
    <t>2/0057</t>
  </si>
  <si>
    <t>2/0080</t>
  </si>
  <si>
    <t>2/0226</t>
  </si>
  <si>
    <t>2/0147</t>
  </si>
  <si>
    <t>2/0107</t>
  </si>
  <si>
    <t>2/0092</t>
  </si>
  <si>
    <t>2/0112</t>
  </si>
  <si>
    <t>2/1002</t>
  </si>
  <si>
    <t>2/0094</t>
  </si>
  <si>
    <t>2/0182</t>
  </si>
  <si>
    <t>2/0169</t>
  </si>
  <si>
    <t>2/0085</t>
  </si>
  <si>
    <t>2/0207</t>
  </si>
  <si>
    <t>2/0902</t>
  </si>
  <si>
    <t>2/0122</t>
  </si>
  <si>
    <t>2/0131</t>
  </si>
  <si>
    <t>2/0086</t>
  </si>
  <si>
    <t>2/0004</t>
  </si>
  <si>
    <t>2/0149</t>
  </si>
  <si>
    <t>2/0008</t>
  </si>
  <si>
    <t>2/0012</t>
  </si>
  <si>
    <t>2/0062</t>
  </si>
  <si>
    <t>2/0081</t>
  </si>
  <si>
    <t>2/0011</t>
  </si>
  <si>
    <t>2/0019</t>
  </si>
  <si>
    <t>2/0115</t>
  </si>
  <si>
    <t>2/0054</t>
  </si>
  <si>
    <t>2/0064</t>
  </si>
  <si>
    <t>2/0045</t>
  </si>
  <si>
    <t>2/0034</t>
  </si>
  <si>
    <t>2/0060</t>
  </si>
  <si>
    <t>2/0163</t>
  </si>
  <si>
    <t>2/0015</t>
  </si>
  <si>
    <t>valutazione</t>
  </si>
  <si>
    <t>presenza</t>
  </si>
  <si>
    <t>totale</t>
  </si>
  <si>
    <t>CSRD</t>
  </si>
  <si>
    <t>COM. ALL. GIARD.</t>
  </si>
  <si>
    <t>SERV. SUPP.</t>
  </si>
  <si>
    <t>HOSPICE</t>
  </si>
  <si>
    <t>PERS. SANIT.</t>
  </si>
  <si>
    <t>TUT. MINORI</t>
  </si>
  <si>
    <t>VENERE</t>
  </si>
  <si>
    <t>NUCLEI</t>
  </si>
  <si>
    <t>CSRR</t>
  </si>
  <si>
    <t>SAD</t>
  </si>
  <si>
    <t>PERS. AMMIN.</t>
  </si>
  <si>
    <t>SERV. ADULTI E ANZIANI</t>
  </si>
  <si>
    <t>SIRIO</t>
  </si>
  <si>
    <t>AMMIN</t>
  </si>
  <si>
    <t>COM. ALL. GIARDINO</t>
  </si>
  <si>
    <t>PERS. SANITARIO</t>
  </si>
  <si>
    <t>2/1108</t>
  </si>
  <si>
    <t>2/0170</t>
  </si>
  <si>
    <t>2/1099</t>
  </si>
  <si>
    <t>2/1100</t>
  </si>
  <si>
    <t>2/1046</t>
  </si>
  <si>
    <t>2/1096</t>
  </si>
  <si>
    <t>2/1074</t>
  </si>
  <si>
    <t>2/1092</t>
  </si>
  <si>
    <t xml:space="preserve">Punteggio </t>
  </si>
  <si>
    <t>presenze</t>
  </si>
  <si>
    <t>2/1087</t>
  </si>
  <si>
    <t>2/1075</t>
  </si>
  <si>
    <t>2/0176</t>
  </si>
  <si>
    <t>2/1136</t>
  </si>
  <si>
    <t>2/1070</t>
  </si>
  <si>
    <t>2/1138</t>
  </si>
  <si>
    <t>2/1069</t>
  </si>
  <si>
    <t>2/1040</t>
  </si>
  <si>
    <t>2/1103</t>
  </si>
  <si>
    <t>2/1137</t>
  </si>
  <si>
    <t>2/1091</t>
  </si>
  <si>
    <t>2/1078</t>
  </si>
  <si>
    <t>2/0184</t>
  </si>
  <si>
    <t>2/0177</t>
  </si>
  <si>
    <t>2/1090</t>
  </si>
  <si>
    <t>2/1068</t>
  </si>
  <si>
    <t>2/1112</t>
  </si>
  <si>
    <t>2/1039</t>
  </si>
  <si>
    <t>2/0186</t>
  </si>
  <si>
    <t>2/1088</t>
  </si>
  <si>
    <t>2/0183</t>
  </si>
  <si>
    <t>2/0197</t>
  </si>
  <si>
    <t>2/1094</t>
  </si>
  <si>
    <t>2/0180</t>
  </si>
  <si>
    <t>2/1055</t>
  </si>
  <si>
    <t>2/1054</t>
  </si>
  <si>
    <t>2/0201</t>
  </si>
  <si>
    <t>2/0165</t>
  </si>
  <si>
    <t>2/1044</t>
  </si>
  <si>
    <t>2/1098</t>
  </si>
  <si>
    <t>2/1081</t>
  </si>
  <si>
    <t>2/1139</t>
  </si>
  <si>
    <t>2/1066</t>
  </si>
  <si>
    <t>2/1106</t>
  </si>
  <si>
    <t>2/1086</t>
  </si>
  <si>
    <t>2/0123</t>
  </si>
  <si>
    <t>2/0175</t>
  </si>
  <si>
    <t>2/1095</t>
  </si>
  <si>
    <t>2/1097</t>
  </si>
  <si>
    <t>2/0187</t>
  </si>
  <si>
    <t>2/1063</t>
  </si>
  <si>
    <t>2/1140</t>
  </si>
  <si>
    <t>2/1053</t>
  </si>
  <si>
    <t>2/0199</t>
  </si>
  <si>
    <t>2/1147</t>
  </si>
  <si>
    <t>2/0195</t>
  </si>
  <si>
    <t>2/0194</t>
  </si>
  <si>
    <t>2/1064</t>
  </si>
  <si>
    <t>2/1060</t>
  </si>
  <si>
    <t>2/0179</t>
  </si>
  <si>
    <t>2/0161</t>
  </si>
  <si>
    <t>2/0162</t>
  </si>
  <si>
    <t>25/36</t>
  </si>
  <si>
    <t>2/0055</t>
  </si>
  <si>
    <t>2/0245</t>
  </si>
  <si>
    <t>2/1067</t>
  </si>
  <si>
    <t>2/1083</t>
  </si>
  <si>
    <t>2/0121</t>
  </si>
  <si>
    <t>2/1056</t>
  </si>
  <si>
    <t>2/0242</t>
  </si>
  <si>
    <t>2/0241</t>
  </si>
  <si>
    <t>2/0203</t>
  </si>
  <si>
    <t>33/36</t>
  </si>
  <si>
    <t>2/0246</t>
  </si>
  <si>
    <t>SET</t>
  </si>
  <si>
    <t>2/0248</t>
  </si>
  <si>
    <t>2/0249</t>
  </si>
  <si>
    <t>2/0247</t>
  </si>
  <si>
    <t>2/0202</t>
  </si>
  <si>
    <t>2/0091</t>
  </si>
  <si>
    <t>2/0018</t>
  </si>
  <si>
    <t>2/0243</t>
  </si>
  <si>
    <t>8/36</t>
  </si>
  <si>
    <t>TUTELA MINORI</t>
  </si>
  <si>
    <t>2/0143</t>
  </si>
  <si>
    <t>34,5/36</t>
  </si>
  <si>
    <t>27/36</t>
  </si>
  <si>
    <t>35/36</t>
  </si>
  <si>
    <t>B5/C1</t>
  </si>
  <si>
    <t>B3/C1</t>
  </si>
  <si>
    <t>B6/C1</t>
  </si>
  <si>
    <t>27,75/36</t>
  </si>
  <si>
    <t>14/36</t>
  </si>
  <si>
    <t>23,5/36</t>
  </si>
  <si>
    <t>2/0260</t>
  </si>
  <si>
    <t>32,5/36</t>
  </si>
  <si>
    <t>2/0257</t>
  </si>
  <si>
    <t>2/0258</t>
  </si>
  <si>
    <t>2/0276</t>
  </si>
  <si>
    <t>2/0255</t>
  </si>
  <si>
    <t>2/0263</t>
  </si>
  <si>
    <t>2/0271</t>
  </si>
  <si>
    <t>2/0267</t>
  </si>
  <si>
    <t>2/0268</t>
  </si>
  <si>
    <t>2/0250</t>
  </si>
  <si>
    <t>2/0269</t>
  </si>
  <si>
    <t>2/0270</t>
  </si>
  <si>
    <t>2/0262</t>
  </si>
  <si>
    <t>2/0266</t>
  </si>
  <si>
    <t>2/0274</t>
  </si>
  <si>
    <t>31,5/36</t>
  </si>
  <si>
    <t>2/0264</t>
  </si>
  <si>
    <t>2/0256</t>
  </si>
  <si>
    <t>2/0252</t>
  </si>
  <si>
    <t>31,85/36</t>
  </si>
  <si>
    <t>2/0261</t>
  </si>
  <si>
    <t>2/0272</t>
  </si>
  <si>
    <t>2/0164</t>
  </si>
  <si>
    <t>2/0259</t>
  </si>
  <si>
    <t>2/0001</t>
  </si>
  <si>
    <t>2/0190</t>
  </si>
  <si>
    <t>2/0265</t>
  </si>
  <si>
    <t>ASP AZALEA</t>
  </si>
  <si>
    <t>Castel San Giovanni (PC)</t>
  </si>
  <si>
    <t>Pubblicazione ai sensi dell' art. 20, c.2 d.lgs. N. 33/2013</t>
  </si>
  <si>
    <t>Distribuzione produttività anno 2019 - liquidata nel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</si>
</sst>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4" fontId="3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 applyFill="1"/>
    <xf numFmtId="4" fontId="4" fillId="0" borderId="0" xfId="0" applyNumberFormat="1" applyFont="1" applyFill="1"/>
    <xf numFmtId="4" fontId="2" fillId="0" borderId="0" xfId="0" applyNumberFormat="1" applyFont="1" applyFill="1"/>
    <xf numFmtId="4" fontId="0" fillId="0" borderId="0" xfId="0" applyNumberFormat="1" applyFill="1"/>
    <xf numFmtId="4" fontId="3" fillId="4" borderId="0" xfId="0" applyNumberFormat="1" applyFont="1" applyFill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5" fillId="4" borderId="0" xfId="0" applyNumberFormat="1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0" fontId="4" fillId="0" borderId="0" xfId="0" applyFont="1" applyFill="1"/>
    <xf numFmtId="49" fontId="3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Fill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"/>
  <sheetViews>
    <sheetView tabSelected="1" zoomScaleNormal="100" workbookViewId="0">
      <selection activeCell="M4" sqref="M4"/>
    </sheetView>
  </sheetViews>
  <sheetFormatPr defaultRowHeight="15"/>
  <cols>
    <col min="1" max="1" width="6" style="11" customWidth="1"/>
    <col min="2" max="2" width="9.140625" style="11" customWidth="1"/>
    <col min="3" max="3" width="16.7109375" style="11" customWidth="1"/>
    <col min="4" max="4" width="16.28515625" style="10" customWidth="1"/>
    <col min="5" max="6" width="16.7109375" style="7" customWidth="1"/>
    <col min="7" max="7" width="18.85546875" style="7" customWidth="1"/>
    <col min="8" max="8" width="24.28515625" style="7" customWidth="1"/>
    <col min="9" max="9" width="10.7109375" style="48" customWidth="1"/>
    <col min="10" max="10" width="10.42578125" style="48" customWidth="1"/>
    <col min="11" max="11" width="10.28515625" style="48" customWidth="1"/>
    <col min="12" max="12" width="17.85546875" style="34" customWidth="1"/>
    <col min="13" max="13" width="61.28515625" style="29" customWidth="1"/>
    <col min="18" max="18" width="12.85546875" customWidth="1"/>
  </cols>
  <sheetData>
    <row r="1" spans="1:13" s="1" customFormat="1" ht="15.75">
      <c r="A1" s="5"/>
      <c r="B1" s="12"/>
      <c r="C1" s="12"/>
      <c r="D1" s="14"/>
      <c r="E1" s="14"/>
      <c r="F1" s="14"/>
      <c r="G1" s="14"/>
      <c r="H1" s="14"/>
      <c r="I1" s="48"/>
      <c r="J1" s="48"/>
      <c r="K1" s="48"/>
      <c r="L1" s="30"/>
      <c r="M1" s="22"/>
    </row>
    <row r="2" spans="1:13" s="1" customFormat="1" ht="15.75">
      <c r="A2" s="5"/>
      <c r="B2" s="56" t="s">
        <v>255</v>
      </c>
      <c r="C2" s="16"/>
      <c r="D2" s="14"/>
      <c r="E2" s="14"/>
      <c r="F2" s="14"/>
      <c r="G2" s="14"/>
      <c r="H2" s="14"/>
      <c r="I2" s="48"/>
      <c r="J2" s="48"/>
      <c r="K2" s="48"/>
      <c r="L2" s="30"/>
      <c r="M2" s="22"/>
    </row>
    <row r="3" spans="1:13" s="1" customFormat="1" ht="15.75">
      <c r="A3" s="55"/>
      <c r="B3" s="56" t="s">
        <v>256</v>
      </c>
      <c r="C3" s="16"/>
      <c r="D3" s="14"/>
      <c r="E3" s="14"/>
      <c r="F3" s="14"/>
      <c r="G3" s="14"/>
      <c r="H3" s="14"/>
      <c r="I3" s="48"/>
      <c r="J3" s="48"/>
      <c r="K3" s="48"/>
      <c r="L3" s="30"/>
      <c r="M3" s="22"/>
    </row>
    <row r="4" spans="1:13" s="1" customFormat="1" ht="15.75">
      <c r="A4" s="55"/>
      <c r="B4" s="56"/>
      <c r="C4" s="16"/>
      <c r="D4" s="14"/>
      <c r="E4" s="14"/>
      <c r="F4" s="14"/>
      <c r="G4" s="14"/>
      <c r="H4" s="14"/>
      <c r="I4" s="48"/>
      <c r="J4" s="48"/>
      <c r="K4" s="48"/>
      <c r="L4" s="30"/>
      <c r="M4" s="22"/>
    </row>
    <row r="5" spans="1:13" s="1" customFormat="1" ht="15.75">
      <c r="A5" s="55"/>
      <c r="B5" s="56" t="s">
        <v>258</v>
      </c>
      <c r="C5" s="16"/>
      <c r="D5" s="14"/>
      <c r="E5" s="14"/>
      <c r="F5" s="14"/>
      <c r="G5" s="14"/>
      <c r="H5" s="14"/>
      <c r="I5" s="48"/>
      <c r="J5" s="48"/>
      <c r="K5" s="48"/>
      <c r="L5" s="30"/>
      <c r="M5" s="22"/>
    </row>
    <row r="6" spans="1:13" s="1" customFormat="1" ht="15.75">
      <c r="A6" s="55"/>
      <c r="B6" s="56"/>
      <c r="C6" s="16"/>
      <c r="D6" s="14"/>
      <c r="E6" s="14"/>
      <c r="F6" s="14"/>
      <c r="G6" s="14"/>
      <c r="H6" s="14"/>
      <c r="I6" s="48"/>
      <c r="J6" s="48"/>
      <c r="K6" s="48"/>
      <c r="L6" s="30"/>
      <c r="M6" s="22"/>
    </row>
    <row r="7" spans="1:13" s="1" customFormat="1" ht="15.75">
      <c r="A7" s="55"/>
      <c r="B7" s="64" t="s">
        <v>257</v>
      </c>
      <c r="C7" s="16"/>
      <c r="D7" s="14"/>
      <c r="E7" s="14"/>
      <c r="F7" s="14"/>
      <c r="G7" s="14"/>
      <c r="H7" s="14"/>
      <c r="I7" s="48"/>
      <c r="J7" s="48"/>
      <c r="K7" s="48"/>
      <c r="L7" s="30"/>
      <c r="M7" s="22"/>
    </row>
    <row r="8" spans="1:13" s="1" customFormat="1" ht="15.75">
      <c r="A8" s="55"/>
      <c r="B8" s="64"/>
      <c r="C8" s="16"/>
      <c r="D8" s="14"/>
      <c r="E8" s="14"/>
      <c r="F8" s="14"/>
      <c r="G8" s="14"/>
      <c r="H8" s="14"/>
      <c r="I8" s="48"/>
      <c r="J8" s="48"/>
      <c r="K8" s="48"/>
      <c r="L8" s="30"/>
      <c r="M8" s="22"/>
    </row>
    <row r="9" spans="1:13" s="1" customFormat="1" ht="15.75">
      <c r="A9" s="55"/>
      <c r="B9" s="56"/>
      <c r="C9" s="16"/>
      <c r="D9" s="14"/>
      <c r="E9" s="14"/>
      <c r="F9" s="14"/>
      <c r="G9" s="14"/>
      <c r="H9" s="14"/>
      <c r="I9" s="48"/>
      <c r="J9" s="48"/>
      <c r="K9" s="48"/>
      <c r="L9" s="30"/>
      <c r="M9" s="22"/>
    </row>
    <row r="10" spans="1:13" s="1" customFormat="1" ht="15.75">
      <c r="A10" s="12"/>
      <c r="B10" s="16"/>
      <c r="C10" s="16"/>
      <c r="D10" s="24"/>
      <c r="E10" s="24"/>
      <c r="F10" s="24"/>
      <c r="G10" s="49" t="s">
        <v>36</v>
      </c>
      <c r="H10" s="49" t="s">
        <v>38</v>
      </c>
      <c r="I10" s="57" t="s">
        <v>40</v>
      </c>
      <c r="J10" s="57" t="s">
        <v>40</v>
      </c>
      <c r="K10" s="57" t="s">
        <v>40</v>
      </c>
      <c r="L10" s="50" t="s">
        <v>42</v>
      </c>
      <c r="M10" s="22"/>
    </row>
    <row r="11" spans="1:13" s="21" customFormat="1" ht="15.75">
      <c r="A11" s="18"/>
      <c r="B11" s="51" t="s">
        <v>46</v>
      </c>
      <c r="C11" s="52" t="s">
        <v>9</v>
      </c>
      <c r="D11" s="53" t="s">
        <v>10</v>
      </c>
      <c r="E11" s="53" t="s">
        <v>11</v>
      </c>
      <c r="F11" s="53" t="s">
        <v>35</v>
      </c>
      <c r="G11" s="53" t="s">
        <v>37</v>
      </c>
      <c r="H11" s="53" t="s">
        <v>39</v>
      </c>
      <c r="I11" s="58" t="s">
        <v>114</v>
      </c>
      <c r="J11" s="58" t="s">
        <v>115</v>
      </c>
      <c r="K11" s="58" t="s">
        <v>116</v>
      </c>
      <c r="L11" s="54" t="s">
        <v>43</v>
      </c>
      <c r="M11" s="27"/>
    </row>
    <row r="12" spans="1:13" s="1" customFormat="1" ht="15.75">
      <c r="A12" s="12"/>
      <c r="B12" s="12"/>
      <c r="C12" s="12"/>
      <c r="D12" s="14"/>
      <c r="E12" s="14"/>
      <c r="F12" s="14"/>
      <c r="G12" s="14"/>
      <c r="H12" s="14"/>
      <c r="I12" s="48"/>
      <c r="J12" s="48"/>
      <c r="K12" s="48"/>
      <c r="L12" s="30"/>
      <c r="M12" s="22"/>
    </row>
    <row r="13" spans="1:13" s="13" customFormat="1" ht="15.75">
      <c r="A13" s="12">
        <v>1</v>
      </c>
      <c r="B13" s="12" t="s">
        <v>252</v>
      </c>
      <c r="C13" s="12" t="s">
        <v>7</v>
      </c>
      <c r="D13" s="14">
        <v>100</v>
      </c>
      <c r="E13" s="14" t="s">
        <v>2</v>
      </c>
      <c r="F13" s="14">
        <v>112</v>
      </c>
      <c r="G13" s="14">
        <f>F13*D13/100</f>
        <v>112</v>
      </c>
      <c r="H13" s="14" t="s">
        <v>29</v>
      </c>
      <c r="I13" s="48">
        <f>89*50/90</f>
        <v>49.444444444444443</v>
      </c>
      <c r="J13" s="48">
        <v>50</v>
      </c>
      <c r="K13" s="48">
        <f>SUM(I13:J13)</f>
        <v>99.444444444444443</v>
      </c>
      <c r="L13" s="30">
        <f t="shared" ref="L13:L47" si="0">($H$108/$G$108*G13)/100*K13</f>
        <v>368.23035632011647</v>
      </c>
      <c r="M13" s="22"/>
    </row>
    <row r="14" spans="1:13" s="13" customFormat="1" ht="15.75">
      <c r="A14" s="12">
        <v>2</v>
      </c>
      <c r="B14" s="12" t="s">
        <v>108</v>
      </c>
      <c r="C14" s="12" t="s">
        <v>7</v>
      </c>
      <c r="D14" s="14">
        <v>100</v>
      </c>
      <c r="E14" s="12" t="s">
        <v>12</v>
      </c>
      <c r="F14" s="14">
        <v>113</v>
      </c>
      <c r="G14" s="14">
        <f t="shared" ref="G14:G80" si="1">F14*D14/100</f>
        <v>113</v>
      </c>
      <c r="H14" s="14" t="s">
        <v>27</v>
      </c>
      <c r="I14" s="48">
        <f>70.5*50/90</f>
        <v>39.166666666666664</v>
      </c>
      <c r="J14" s="48">
        <v>50</v>
      </c>
      <c r="K14" s="48">
        <f>SUM(I14:J14)</f>
        <v>89.166666666666657</v>
      </c>
      <c r="L14" s="30">
        <f t="shared" si="0"/>
        <v>333.12100246407584</v>
      </c>
      <c r="M14" s="23"/>
    </row>
    <row r="15" spans="1:13" s="13" customFormat="1" ht="15.75">
      <c r="A15" s="12">
        <v>3</v>
      </c>
      <c r="B15" s="12" t="s">
        <v>133</v>
      </c>
      <c r="C15" s="12" t="s">
        <v>7</v>
      </c>
      <c r="D15" s="14">
        <v>100</v>
      </c>
      <c r="E15" s="12" t="s">
        <v>2</v>
      </c>
      <c r="F15" s="14">
        <v>112</v>
      </c>
      <c r="G15" s="14">
        <f t="shared" si="1"/>
        <v>112</v>
      </c>
      <c r="H15" s="14" t="s">
        <v>117</v>
      </c>
      <c r="I15" s="48">
        <f>89*50/100</f>
        <v>44.5</v>
      </c>
      <c r="J15" s="48">
        <v>40</v>
      </c>
      <c r="K15" s="48">
        <f t="shared" ref="K15:K81" si="2">SUM(I15:J15)</f>
        <v>84.5</v>
      </c>
      <c r="L15" s="30">
        <f t="shared" si="0"/>
        <v>312.89294523066883</v>
      </c>
      <c r="M15" s="23"/>
    </row>
    <row r="16" spans="1:13" s="13" customFormat="1" ht="16.5" customHeight="1">
      <c r="A16" s="12">
        <v>4</v>
      </c>
      <c r="B16" s="12" t="s">
        <v>227</v>
      </c>
      <c r="C16" s="12" t="s">
        <v>228</v>
      </c>
      <c r="D16" s="14">
        <v>90.28</v>
      </c>
      <c r="E16" s="12" t="s">
        <v>2</v>
      </c>
      <c r="F16" s="14">
        <v>112</v>
      </c>
      <c r="G16" s="14">
        <f t="shared" si="1"/>
        <v>101.11360000000001</v>
      </c>
      <c r="H16" s="14" t="s">
        <v>118</v>
      </c>
      <c r="I16" s="48">
        <f>88*50/100</f>
        <v>44</v>
      </c>
      <c r="J16" s="48">
        <v>5</v>
      </c>
      <c r="K16" s="48">
        <f t="shared" si="2"/>
        <v>49</v>
      </c>
      <c r="L16" s="30">
        <f t="shared" si="0"/>
        <v>163.80482599713781</v>
      </c>
      <c r="M16" s="23"/>
    </row>
    <row r="17" spans="1:13" s="13" customFormat="1" ht="15.75">
      <c r="A17" s="12">
        <v>5</v>
      </c>
      <c r="B17" s="12" t="s">
        <v>134</v>
      </c>
      <c r="C17" s="12" t="s">
        <v>7</v>
      </c>
      <c r="D17" s="14">
        <v>100</v>
      </c>
      <c r="E17" s="12" t="s">
        <v>2</v>
      </c>
      <c r="F17" s="14">
        <v>112</v>
      </c>
      <c r="G17" s="14">
        <f t="shared" si="1"/>
        <v>112</v>
      </c>
      <c r="H17" s="14" t="s">
        <v>27</v>
      </c>
      <c r="I17" s="48">
        <f>81*50/90</f>
        <v>45</v>
      </c>
      <c r="J17" s="48">
        <v>50</v>
      </c>
      <c r="K17" s="48">
        <f t="shared" si="2"/>
        <v>95</v>
      </c>
      <c r="L17" s="30">
        <f t="shared" si="0"/>
        <v>351.7731336912845</v>
      </c>
      <c r="M17" s="23"/>
    </row>
    <row r="18" spans="1:13" s="13" customFormat="1" ht="15.75">
      <c r="A18" s="12">
        <v>6</v>
      </c>
      <c r="B18" s="12" t="s">
        <v>60</v>
      </c>
      <c r="C18" s="12" t="s">
        <v>8</v>
      </c>
      <c r="D18" s="14">
        <v>66.67</v>
      </c>
      <c r="E18" s="14" t="s">
        <v>2</v>
      </c>
      <c r="F18" s="14">
        <v>112</v>
      </c>
      <c r="G18" s="14">
        <f t="shared" si="1"/>
        <v>74.670400000000001</v>
      </c>
      <c r="H18" s="14" t="s">
        <v>118</v>
      </c>
      <c r="I18" s="48">
        <f>90*50/100</f>
        <v>45</v>
      </c>
      <c r="J18" s="48">
        <v>15</v>
      </c>
      <c r="K18" s="48">
        <f t="shared" si="2"/>
        <v>60</v>
      </c>
      <c r="L18" s="30">
        <f t="shared" si="0"/>
        <v>148.12240940967118</v>
      </c>
      <c r="M18" s="23"/>
    </row>
    <row r="19" spans="1:13" s="13" customFormat="1" ht="15.75">
      <c r="A19" s="12">
        <v>7</v>
      </c>
      <c r="B19" s="12" t="s">
        <v>135</v>
      </c>
      <c r="C19" s="12" t="s">
        <v>7</v>
      </c>
      <c r="D19" s="14">
        <v>100</v>
      </c>
      <c r="E19" s="14" t="s">
        <v>2</v>
      </c>
      <c r="F19" s="14">
        <v>112</v>
      </c>
      <c r="G19" s="14">
        <f t="shared" si="1"/>
        <v>112</v>
      </c>
      <c r="H19" s="14" t="s">
        <v>29</v>
      </c>
      <c r="I19" s="48">
        <f>81*50/90</f>
        <v>45</v>
      </c>
      <c r="J19" s="48">
        <v>50</v>
      </c>
      <c r="K19" s="48">
        <f t="shared" si="2"/>
        <v>95</v>
      </c>
      <c r="L19" s="30">
        <f t="shared" si="0"/>
        <v>351.7731336912845</v>
      </c>
      <c r="M19" s="23"/>
    </row>
    <row r="20" spans="1:13" s="13" customFormat="1" ht="15.75">
      <c r="A20" s="12">
        <v>8</v>
      </c>
      <c r="B20" s="12" t="s">
        <v>70</v>
      </c>
      <c r="C20" s="12" t="s">
        <v>8</v>
      </c>
      <c r="D20" s="14">
        <v>66.67</v>
      </c>
      <c r="E20" s="14" t="s">
        <v>12</v>
      </c>
      <c r="F20" s="14">
        <v>113</v>
      </c>
      <c r="G20" s="14">
        <f t="shared" si="1"/>
        <v>75.337100000000007</v>
      </c>
      <c r="H20" s="14" t="s">
        <v>119</v>
      </c>
      <c r="I20" s="48">
        <f>90*50/90</f>
        <v>50</v>
      </c>
      <c r="J20" s="48">
        <v>5</v>
      </c>
      <c r="K20" s="48">
        <f t="shared" si="2"/>
        <v>55</v>
      </c>
      <c r="L20" s="30">
        <f t="shared" si="0"/>
        <v>136.99118667873609</v>
      </c>
      <c r="M20" s="23"/>
    </row>
    <row r="21" spans="1:13" s="13" customFormat="1" ht="15.75">
      <c r="A21" s="12">
        <v>9</v>
      </c>
      <c r="B21" s="12" t="s">
        <v>214</v>
      </c>
      <c r="C21" s="12" t="s">
        <v>6</v>
      </c>
      <c r="D21" s="14">
        <v>50</v>
      </c>
      <c r="E21" s="14" t="s">
        <v>2</v>
      </c>
      <c r="F21" s="14">
        <v>112</v>
      </c>
      <c r="G21" s="14">
        <f t="shared" si="1"/>
        <v>56</v>
      </c>
      <c r="H21" s="14" t="s">
        <v>126</v>
      </c>
      <c r="I21" s="48">
        <f>72*50/90</f>
        <v>40</v>
      </c>
      <c r="J21" s="48">
        <v>50</v>
      </c>
      <c r="K21" s="48">
        <f t="shared" si="2"/>
        <v>90</v>
      </c>
      <c r="L21" s="30">
        <f t="shared" si="0"/>
        <v>166.62937911692424</v>
      </c>
      <c r="M21" s="23"/>
    </row>
    <row r="22" spans="1:13" s="13" customFormat="1" ht="15.75">
      <c r="A22" s="12">
        <v>10</v>
      </c>
      <c r="B22" s="12" t="s">
        <v>61</v>
      </c>
      <c r="C22" s="12" t="s">
        <v>7</v>
      </c>
      <c r="D22" s="14">
        <v>100</v>
      </c>
      <c r="E22" s="14" t="s">
        <v>2</v>
      </c>
      <c r="F22" s="14">
        <v>112</v>
      </c>
      <c r="G22" s="14">
        <f t="shared" si="1"/>
        <v>112</v>
      </c>
      <c r="H22" s="14" t="s">
        <v>4</v>
      </c>
      <c r="I22" s="48">
        <f>85*50/90</f>
        <v>47.222222222222221</v>
      </c>
      <c r="J22" s="48">
        <v>50</v>
      </c>
      <c r="K22" s="48">
        <f t="shared" si="2"/>
        <v>97.222222222222229</v>
      </c>
      <c r="L22" s="30">
        <f t="shared" si="0"/>
        <v>360.00174500570051</v>
      </c>
      <c r="M22" s="23"/>
    </row>
    <row r="23" spans="1:13" s="13" customFormat="1" ht="15.75">
      <c r="A23" s="12">
        <v>11</v>
      </c>
      <c r="B23" s="12" t="s">
        <v>136</v>
      </c>
      <c r="C23" s="12" t="s">
        <v>7</v>
      </c>
      <c r="D23" s="14">
        <v>100</v>
      </c>
      <c r="E23" s="14" t="s">
        <v>2</v>
      </c>
      <c r="F23" s="14">
        <v>112</v>
      </c>
      <c r="G23" s="14">
        <f t="shared" si="1"/>
        <v>112</v>
      </c>
      <c r="H23" s="14" t="s">
        <v>27</v>
      </c>
      <c r="I23" s="48">
        <f>83*50/90</f>
        <v>46.111111111111114</v>
      </c>
      <c r="J23" s="48">
        <v>25</v>
      </c>
      <c r="K23" s="48">
        <f t="shared" si="2"/>
        <v>71.111111111111114</v>
      </c>
      <c r="L23" s="30">
        <f t="shared" si="0"/>
        <v>263.31556206131239</v>
      </c>
      <c r="M23" s="23"/>
    </row>
    <row r="24" spans="1:13" s="13" customFormat="1" ht="15.75">
      <c r="A24" s="12">
        <v>12</v>
      </c>
      <c r="B24" s="12" t="s">
        <v>47</v>
      </c>
      <c r="C24" s="12" t="s">
        <v>7</v>
      </c>
      <c r="D24" s="14">
        <v>100</v>
      </c>
      <c r="E24" s="14" t="s">
        <v>2</v>
      </c>
      <c r="F24" s="14">
        <v>112</v>
      </c>
      <c r="G24" s="14">
        <f t="shared" si="1"/>
        <v>112</v>
      </c>
      <c r="H24" s="14" t="s">
        <v>3</v>
      </c>
      <c r="I24" s="48">
        <f>76*50/90</f>
        <v>42.222222222222221</v>
      </c>
      <c r="J24" s="48">
        <v>0</v>
      </c>
      <c r="K24" s="48">
        <f t="shared" si="2"/>
        <v>42.222222222222221</v>
      </c>
      <c r="L24" s="30">
        <f t="shared" si="0"/>
        <v>156.34361497390421</v>
      </c>
      <c r="M24" s="23"/>
    </row>
    <row r="25" spans="1:13" s="13" customFormat="1" ht="15.75">
      <c r="A25" s="12">
        <v>13</v>
      </c>
      <c r="B25" s="12" t="s">
        <v>53</v>
      </c>
      <c r="C25" s="12" t="s">
        <v>7</v>
      </c>
      <c r="D25" s="14">
        <v>100</v>
      </c>
      <c r="E25" s="14" t="s">
        <v>2</v>
      </c>
      <c r="F25" s="14">
        <v>112</v>
      </c>
      <c r="G25" s="14">
        <f t="shared" si="1"/>
        <v>112</v>
      </c>
      <c r="H25" s="14" t="s">
        <v>29</v>
      </c>
      <c r="I25" s="48">
        <f>86.5*50/90</f>
        <v>48.055555555555557</v>
      </c>
      <c r="J25" s="48">
        <v>25</v>
      </c>
      <c r="K25" s="48">
        <f t="shared" si="2"/>
        <v>73.055555555555557</v>
      </c>
      <c r="L25" s="30">
        <f t="shared" si="0"/>
        <v>270.51559696142635</v>
      </c>
      <c r="M25" s="23"/>
    </row>
    <row r="26" spans="1:13" s="13" customFormat="1" ht="15.75">
      <c r="A26" s="12">
        <v>14</v>
      </c>
      <c r="B26" s="12" t="s">
        <v>71</v>
      </c>
      <c r="C26" s="12" t="s">
        <v>7</v>
      </c>
      <c r="D26" s="14">
        <v>41.66</v>
      </c>
      <c r="E26" s="14" t="s">
        <v>2</v>
      </c>
      <c r="F26" s="14">
        <v>112</v>
      </c>
      <c r="G26" s="14">
        <f t="shared" si="1"/>
        <v>46.659199999999998</v>
      </c>
      <c r="H26" s="14" t="s">
        <v>120</v>
      </c>
      <c r="I26" s="48">
        <f>90*50/100</f>
        <v>45</v>
      </c>
      <c r="J26" s="48">
        <v>50</v>
      </c>
      <c r="K26" s="48">
        <f t="shared" si="2"/>
        <v>95</v>
      </c>
      <c r="L26" s="30">
        <f t="shared" si="0"/>
        <v>146.54868749578912</v>
      </c>
      <c r="M26" s="23"/>
    </row>
    <row r="27" spans="1:13" s="13" customFormat="1" ht="15.75">
      <c r="A27" s="12">
        <v>15</v>
      </c>
      <c r="B27" s="12" t="s">
        <v>139</v>
      </c>
      <c r="C27" s="12" t="s">
        <v>7</v>
      </c>
      <c r="D27" s="14">
        <v>100</v>
      </c>
      <c r="E27" s="14" t="s">
        <v>2</v>
      </c>
      <c r="F27" s="14">
        <v>112</v>
      </c>
      <c r="G27" s="14">
        <f t="shared" si="1"/>
        <v>112</v>
      </c>
      <c r="H27" s="14" t="s">
        <v>3</v>
      </c>
      <c r="I27" s="48">
        <f>76.5*50/90</f>
        <v>42.5</v>
      </c>
      <c r="J27" s="48">
        <v>0</v>
      </c>
      <c r="K27" s="48">
        <f t="shared" si="2"/>
        <v>42.5</v>
      </c>
      <c r="L27" s="30">
        <f t="shared" si="0"/>
        <v>157.3721913882062</v>
      </c>
      <c r="M27" s="23"/>
    </row>
    <row r="28" spans="1:13" s="13" customFormat="1" ht="15.75">
      <c r="A28" s="12">
        <v>16</v>
      </c>
      <c r="B28" s="12" t="s">
        <v>138</v>
      </c>
      <c r="C28" s="12" t="s">
        <v>7</v>
      </c>
      <c r="D28" s="14">
        <v>100</v>
      </c>
      <c r="E28" s="14" t="s">
        <v>2</v>
      </c>
      <c r="F28" s="14">
        <v>112</v>
      </c>
      <c r="G28" s="14">
        <f t="shared" si="1"/>
        <v>112</v>
      </c>
      <c r="H28" s="14" t="s">
        <v>4</v>
      </c>
      <c r="I28" s="48">
        <f>87*50/90</f>
        <v>48.333333333333336</v>
      </c>
      <c r="J28" s="48">
        <v>40</v>
      </c>
      <c r="K28" s="48">
        <f t="shared" si="2"/>
        <v>88.333333333333343</v>
      </c>
      <c r="L28" s="30">
        <f t="shared" si="0"/>
        <v>327.08729974803646</v>
      </c>
      <c r="M28" s="23"/>
    </row>
    <row r="29" spans="1:13" s="13" customFormat="1" ht="15.75">
      <c r="A29" s="12">
        <v>17</v>
      </c>
      <c r="B29" s="12" t="s">
        <v>48</v>
      </c>
      <c r="C29" s="12" t="s">
        <v>8</v>
      </c>
      <c r="D29" s="14">
        <f>100/3*2</f>
        <v>66.666666666666671</v>
      </c>
      <c r="E29" s="14" t="s">
        <v>12</v>
      </c>
      <c r="F29" s="14">
        <v>113</v>
      </c>
      <c r="G29" s="14">
        <f t="shared" si="1"/>
        <v>75.333333333333343</v>
      </c>
      <c r="H29" s="14" t="s">
        <v>3</v>
      </c>
      <c r="I29" s="48">
        <f>75*50/90</f>
        <v>41.666666666666664</v>
      </c>
      <c r="J29" s="48">
        <v>50</v>
      </c>
      <c r="K29" s="48">
        <f t="shared" si="2"/>
        <v>91.666666666666657</v>
      </c>
      <c r="L29" s="30">
        <f t="shared" si="0"/>
        <v>228.30722910310499</v>
      </c>
      <c r="M29" s="23"/>
    </row>
    <row r="30" spans="1:13" s="13" customFormat="1" ht="15.75">
      <c r="A30" s="12">
        <v>18</v>
      </c>
      <c r="B30" s="12" t="s">
        <v>140</v>
      </c>
      <c r="C30" s="12" t="s">
        <v>7</v>
      </c>
      <c r="D30" s="14">
        <v>100</v>
      </c>
      <c r="E30" s="14" t="s">
        <v>2</v>
      </c>
      <c r="F30" s="14">
        <v>112</v>
      </c>
      <c r="G30" s="14">
        <f t="shared" si="1"/>
        <v>112</v>
      </c>
      <c r="H30" s="14" t="s">
        <v>4</v>
      </c>
      <c r="I30" s="48">
        <f>87*50/90</f>
        <v>48.333333333333336</v>
      </c>
      <c r="J30" s="48">
        <v>25</v>
      </c>
      <c r="K30" s="48">
        <f t="shared" si="2"/>
        <v>73.333333333333343</v>
      </c>
      <c r="L30" s="30">
        <f t="shared" si="0"/>
        <v>271.54417337572841</v>
      </c>
      <c r="M30" s="23"/>
    </row>
    <row r="31" spans="1:13" s="13" customFormat="1" ht="15.75">
      <c r="A31" s="12">
        <v>19</v>
      </c>
      <c r="B31" s="12" t="s">
        <v>242</v>
      </c>
      <c r="C31" s="12" t="s">
        <v>5</v>
      </c>
      <c r="D31" s="14">
        <v>6.94</v>
      </c>
      <c r="E31" s="14" t="s">
        <v>2</v>
      </c>
      <c r="F31" s="14">
        <v>112</v>
      </c>
      <c r="G31" s="14">
        <f t="shared" si="1"/>
        <v>7.772800000000001</v>
      </c>
      <c r="H31" s="14" t="s">
        <v>126</v>
      </c>
      <c r="I31" s="48">
        <f>58*50/90</f>
        <v>32.222222222222221</v>
      </c>
      <c r="J31" s="48">
        <v>50</v>
      </c>
      <c r="K31" s="48">
        <f t="shared" si="2"/>
        <v>82.222222222222229</v>
      </c>
      <c r="L31" s="30">
        <f t="shared" si="0"/>
        <v>21.12942813315744</v>
      </c>
      <c r="M31" s="23"/>
    </row>
    <row r="32" spans="1:13" s="13" customFormat="1" ht="15.75">
      <c r="A32" s="12">
        <v>20</v>
      </c>
      <c r="B32" s="12" t="s">
        <v>72</v>
      </c>
      <c r="C32" s="12" t="s">
        <v>6</v>
      </c>
      <c r="D32" s="14">
        <v>50</v>
      </c>
      <c r="E32" s="14" t="s">
        <v>12</v>
      </c>
      <c r="F32" s="14">
        <v>113</v>
      </c>
      <c r="G32" s="14">
        <f t="shared" si="1"/>
        <v>56.5</v>
      </c>
      <c r="H32" s="14" t="s">
        <v>118</v>
      </c>
      <c r="I32" s="48">
        <f>90*50/100</f>
        <v>45</v>
      </c>
      <c r="J32" s="48">
        <v>0</v>
      </c>
      <c r="K32" s="48">
        <f t="shared" si="2"/>
        <v>45</v>
      </c>
      <c r="L32" s="30">
        <f t="shared" si="0"/>
        <v>84.058570715234097</v>
      </c>
      <c r="M32" s="23"/>
    </row>
    <row r="33" spans="1:13" s="13" customFormat="1" ht="15.75">
      <c r="A33" s="12">
        <v>21</v>
      </c>
      <c r="B33" s="12" t="s">
        <v>62</v>
      </c>
      <c r="C33" s="12" t="s">
        <v>7</v>
      </c>
      <c r="D33" s="14">
        <v>100</v>
      </c>
      <c r="E33" s="14" t="s">
        <v>12</v>
      </c>
      <c r="F33" s="14">
        <v>113</v>
      </c>
      <c r="G33" s="14">
        <f t="shared" si="1"/>
        <v>113</v>
      </c>
      <c r="H33" s="14" t="s">
        <v>4</v>
      </c>
      <c r="I33" s="48">
        <f>80*50/90</f>
        <v>44.444444444444443</v>
      </c>
      <c r="J33" s="48">
        <v>40</v>
      </c>
      <c r="K33" s="48">
        <f t="shared" si="2"/>
        <v>84.444444444444443</v>
      </c>
      <c r="L33" s="30">
        <f t="shared" si="0"/>
        <v>315.47908021519953</v>
      </c>
      <c r="M33" s="23"/>
    </row>
    <row r="34" spans="1:13" s="13" customFormat="1" ht="15.75">
      <c r="A34" s="12">
        <v>22</v>
      </c>
      <c r="B34" s="12" t="s">
        <v>73</v>
      </c>
      <c r="C34" s="12" t="s">
        <v>7</v>
      </c>
      <c r="D34" s="14">
        <v>100</v>
      </c>
      <c r="E34" s="14" t="s">
        <v>12</v>
      </c>
      <c r="F34" s="14">
        <v>113</v>
      </c>
      <c r="G34" s="14">
        <f t="shared" si="1"/>
        <v>113</v>
      </c>
      <c r="H34" s="14" t="s">
        <v>120</v>
      </c>
      <c r="I34" s="48">
        <f>90*50/100</f>
        <v>45</v>
      </c>
      <c r="J34" s="48">
        <v>50</v>
      </c>
      <c r="K34" s="48">
        <f t="shared" si="2"/>
        <v>95</v>
      </c>
      <c r="L34" s="30">
        <f t="shared" si="0"/>
        <v>354.91396524209949</v>
      </c>
      <c r="M34" s="23"/>
    </row>
    <row r="35" spans="1:13" s="13" customFormat="1" ht="15.75">
      <c r="A35" s="12">
        <v>23</v>
      </c>
      <c r="B35" s="12" t="s">
        <v>143</v>
      </c>
      <c r="C35" s="12" t="s">
        <v>7</v>
      </c>
      <c r="D35" s="14">
        <v>100</v>
      </c>
      <c r="E35" s="14" t="s">
        <v>2</v>
      </c>
      <c r="F35" s="14">
        <v>112</v>
      </c>
      <c r="G35" s="14">
        <f t="shared" si="1"/>
        <v>112</v>
      </c>
      <c r="H35" s="14" t="s">
        <v>4</v>
      </c>
      <c r="I35" s="48">
        <f>86.5*50/90</f>
        <v>48.055555555555557</v>
      </c>
      <c r="J35" s="48">
        <v>50</v>
      </c>
      <c r="K35" s="48">
        <f t="shared" si="2"/>
        <v>98.055555555555557</v>
      </c>
      <c r="L35" s="30">
        <f t="shared" si="0"/>
        <v>363.0874742486065</v>
      </c>
      <c r="M35" s="23"/>
    </row>
    <row r="36" spans="1:13" s="13" customFormat="1" ht="15.75">
      <c r="A36" s="12">
        <v>24</v>
      </c>
      <c r="B36" s="12" t="s">
        <v>55</v>
      </c>
      <c r="C36" s="12" t="s">
        <v>7</v>
      </c>
      <c r="D36" s="14">
        <v>100</v>
      </c>
      <c r="E36" s="14" t="s">
        <v>13</v>
      </c>
      <c r="F36" s="14">
        <v>115</v>
      </c>
      <c r="G36" s="14">
        <f t="shared" si="1"/>
        <v>115</v>
      </c>
      <c r="H36" s="14" t="s">
        <v>4</v>
      </c>
      <c r="I36" s="48">
        <f>68*50/90</f>
        <v>37.777777777777779</v>
      </c>
      <c r="J36" s="48">
        <v>0</v>
      </c>
      <c r="K36" s="48">
        <f t="shared" si="2"/>
        <v>37.777777777777779</v>
      </c>
      <c r="L36" s="30">
        <f t="shared" si="0"/>
        <v>143.63334928288666</v>
      </c>
      <c r="M36" s="23"/>
    </row>
    <row r="37" spans="1:13" s="13" customFormat="1" ht="15.75">
      <c r="A37" s="12">
        <v>25</v>
      </c>
      <c r="B37" s="12" t="s">
        <v>144</v>
      </c>
      <c r="C37" s="12" t="s">
        <v>7</v>
      </c>
      <c r="D37" s="14">
        <v>100</v>
      </c>
      <c r="E37" s="14" t="s">
        <v>2</v>
      </c>
      <c r="F37" s="14">
        <v>112</v>
      </c>
      <c r="G37" s="14">
        <f t="shared" si="1"/>
        <v>112</v>
      </c>
      <c r="H37" s="14" t="s">
        <v>29</v>
      </c>
      <c r="I37" s="48">
        <f>85*50/90</f>
        <v>47.222222222222221</v>
      </c>
      <c r="J37" s="48">
        <v>0</v>
      </c>
      <c r="K37" s="48">
        <f t="shared" si="2"/>
        <v>47.222222222222221</v>
      </c>
      <c r="L37" s="30">
        <f t="shared" si="0"/>
        <v>174.85799043134023</v>
      </c>
      <c r="M37" s="23"/>
    </row>
    <row r="38" spans="1:13" s="13" customFormat="1" ht="15.75">
      <c r="A38" s="12">
        <v>26</v>
      </c>
      <c r="B38" s="12" t="s">
        <v>146</v>
      </c>
      <c r="C38" s="12" t="s">
        <v>7</v>
      </c>
      <c r="D38" s="14">
        <v>100</v>
      </c>
      <c r="E38" s="14" t="s">
        <v>2</v>
      </c>
      <c r="F38" s="14">
        <v>112</v>
      </c>
      <c r="G38" s="14">
        <f t="shared" si="1"/>
        <v>112</v>
      </c>
      <c r="H38" s="14" t="s">
        <v>27</v>
      </c>
      <c r="I38" s="48">
        <f>87*50/90</f>
        <v>48.333333333333336</v>
      </c>
      <c r="J38" s="48">
        <v>25</v>
      </c>
      <c r="K38" s="48">
        <f t="shared" si="2"/>
        <v>73.333333333333343</v>
      </c>
      <c r="L38" s="30">
        <f t="shared" si="0"/>
        <v>271.54417337572841</v>
      </c>
      <c r="M38" s="23"/>
    </row>
    <row r="39" spans="1:13" s="13" customFormat="1" ht="15.75">
      <c r="A39" s="12">
        <v>27</v>
      </c>
      <c r="B39" s="12" t="s">
        <v>147</v>
      </c>
      <c r="C39" s="12" t="s">
        <v>7</v>
      </c>
      <c r="D39" s="14">
        <v>100</v>
      </c>
      <c r="E39" s="14" t="s">
        <v>2</v>
      </c>
      <c r="F39" s="14">
        <v>112</v>
      </c>
      <c r="G39" s="14">
        <f t="shared" si="1"/>
        <v>112</v>
      </c>
      <c r="H39" s="14" t="s">
        <v>126</v>
      </c>
      <c r="I39" s="48">
        <f>90*50/90</f>
        <v>50</v>
      </c>
      <c r="J39" s="48">
        <v>25</v>
      </c>
      <c r="K39" s="48">
        <f t="shared" si="2"/>
        <v>75</v>
      </c>
      <c r="L39" s="30">
        <f t="shared" si="0"/>
        <v>277.71563186154037</v>
      </c>
      <c r="M39" s="23"/>
    </row>
    <row r="40" spans="1:13" s="13" customFormat="1" ht="15.75">
      <c r="A40" s="12">
        <v>28</v>
      </c>
      <c r="B40" s="12" t="s">
        <v>54</v>
      </c>
      <c r="C40" s="12" t="s">
        <v>6</v>
      </c>
      <c r="D40" s="14">
        <v>50</v>
      </c>
      <c r="E40" s="14" t="s">
        <v>12</v>
      </c>
      <c r="F40" s="14">
        <v>113</v>
      </c>
      <c r="G40" s="14">
        <f t="shared" si="1"/>
        <v>56.5</v>
      </c>
      <c r="H40" s="14" t="s">
        <v>29</v>
      </c>
      <c r="I40" s="48">
        <f>85*50/90</f>
        <v>47.222222222222221</v>
      </c>
      <c r="J40" s="48">
        <v>50</v>
      </c>
      <c r="K40" s="48">
        <f t="shared" si="2"/>
        <v>97.222222222222229</v>
      </c>
      <c r="L40" s="30">
        <f t="shared" si="0"/>
        <v>181.60802315019714</v>
      </c>
      <c r="M40" s="23"/>
    </row>
    <row r="41" spans="1:13" s="13" customFormat="1" ht="15.75">
      <c r="A41" s="12">
        <v>29</v>
      </c>
      <c r="B41" s="12" t="s">
        <v>148</v>
      </c>
      <c r="C41" s="12" t="s">
        <v>7</v>
      </c>
      <c r="D41" s="14">
        <v>100</v>
      </c>
      <c r="E41" s="14" t="s">
        <v>2</v>
      </c>
      <c r="F41" s="14">
        <v>112</v>
      </c>
      <c r="G41" s="14">
        <f t="shared" si="1"/>
        <v>112</v>
      </c>
      <c r="H41" s="14" t="s">
        <v>27</v>
      </c>
      <c r="I41" s="48">
        <f>79*50/90</f>
        <v>43.888888888888886</v>
      </c>
      <c r="J41" s="48">
        <v>25</v>
      </c>
      <c r="K41" s="48">
        <f t="shared" si="2"/>
        <v>68.888888888888886</v>
      </c>
      <c r="L41" s="30">
        <f t="shared" si="0"/>
        <v>255.08695074689635</v>
      </c>
      <c r="M41" s="23"/>
    </row>
    <row r="42" spans="1:13" s="13" customFormat="1" ht="15.75">
      <c r="A42" s="12">
        <v>30</v>
      </c>
      <c r="B42" s="12" t="s">
        <v>149</v>
      </c>
      <c r="C42" s="12" t="s">
        <v>7</v>
      </c>
      <c r="D42" s="14">
        <v>100</v>
      </c>
      <c r="E42" s="14" t="s">
        <v>2</v>
      </c>
      <c r="F42" s="14">
        <v>112</v>
      </c>
      <c r="G42" s="14">
        <f t="shared" si="1"/>
        <v>112</v>
      </c>
      <c r="H42" s="14" t="s">
        <v>126</v>
      </c>
      <c r="I42" s="48">
        <f>86*50/90</f>
        <v>47.777777777777779</v>
      </c>
      <c r="J42" s="48">
        <v>50</v>
      </c>
      <c r="K42" s="48">
        <f t="shared" si="2"/>
        <v>97.777777777777771</v>
      </c>
      <c r="L42" s="30">
        <f t="shared" si="0"/>
        <v>362.05889783430445</v>
      </c>
      <c r="M42" s="23"/>
    </row>
    <row r="43" spans="1:13" s="13" customFormat="1" ht="15.75">
      <c r="A43" s="12">
        <v>31</v>
      </c>
      <c r="B43" s="12" t="s">
        <v>56</v>
      </c>
      <c r="C43" s="12" t="s">
        <v>7</v>
      </c>
      <c r="D43" s="14">
        <v>100</v>
      </c>
      <c r="E43" s="14" t="s">
        <v>2</v>
      </c>
      <c r="F43" s="14">
        <v>112</v>
      </c>
      <c r="G43" s="14">
        <f t="shared" si="1"/>
        <v>112</v>
      </c>
      <c r="H43" s="14" t="s">
        <v>3</v>
      </c>
      <c r="I43" s="48">
        <f>74*50/90</f>
        <v>41.111111111111114</v>
      </c>
      <c r="J43" s="48">
        <v>50</v>
      </c>
      <c r="K43" s="48">
        <f t="shared" si="2"/>
        <v>91.111111111111114</v>
      </c>
      <c r="L43" s="30">
        <f t="shared" si="0"/>
        <v>337.37306389105646</v>
      </c>
      <c r="M43" s="22"/>
    </row>
    <row r="44" spans="1:13" s="13" customFormat="1" ht="15.75">
      <c r="A44" s="12">
        <v>32</v>
      </c>
      <c r="B44" s="12" t="s">
        <v>150</v>
      </c>
      <c r="C44" s="12" t="s">
        <v>7</v>
      </c>
      <c r="D44" s="14">
        <v>100</v>
      </c>
      <c r="E44" s="14" t="s">
        <v>2</v>
      </c>
      <c r="F44" s="14">
        <v>112</v>
      </c>
      <c r="G44" s="14">
        <f t="shared" si="1"/>
        <v>112</v>
      </c>
      <c r="H44" s="14" t="s">
        <v>125</v>
      </c>
      <c r="I44" s="48">
        <f>92*50/100</f>
        <v>46</v>
      </c>
      <c r="J44" s="48">
        <v>50</v>
      </c>
      <c r="K44" s="48">
        <f t="shared" si="2"/>
        <v>96</v>
      </c>
      <c r="L44" s="30">
        <f t="shared" si="0"/>
        <v>355.47600878277171</v>
      </c>
      <c r="M44" s="22"/>
    </row>
    <row r="45" spans="1:13" s="13" customFormat="1" ht="15.75">
      <c r="A45" s="12">
        <v>33</v>
      </c>
      <c r="B45" s="12" t="s">
        <v>244</v>
      </c>
      <c r="C45" s="12" t="s">
        <v>243</v>
      </c>
      <c r="D45" s="14">
        <v>48.63</v>
      </c>
      <c r="E45" s="14" t="s">
        <v>2</v>
      </c>
      <c r="F45" s="14">
        <v>112</v>
      </c>
      <c r="G45" s="14">
        <f t="shared" si="1"/>
        <v>54.465600000000002</v>
      </c>
      <c r="H45" s="14" t="s">
        <v>118</v>
      </c>
      <c r="I45" s="48">
        <f>((68*50/90)+(88*50/100))/2</f>
        <v>40.888888888888886</v>
      </c>
      <c r="J45" s="48">
        <v>50</v>
      </c>
      <c r="K45" s="48">
        <f t="shared" si="2"/>
        <v>90.888888888888886</v>
      </c>
      <c r="L45" s="30">
        <f t="shared" si="0"/>
        <v>163.66436360200072</v>
      </c>
      <c r="M45" s="22"/>
    </row>
    <row r="46" spans="1:13" s="13" customFormat="1" ht="15.75">
      <c r="A46" s="12">
        <v>34</v>
      </c>
      <c r="B46" s="12" t="s">
        <v>49</v>
      </c>
      <c r="C46" s="12" t="s">
        <v>7</v>
      </c>
      <c r="D46" s="14">
        <v>100</v>
      </c>
      <c r="E46" s="14" t="s">
        <v>13</v>
      </c>
      <c r="F46" s="14">
        <v>115</v>
      </c>
      <c r="G46" s="14">
        <f t="shared" si="1"/>
        <v>115</v>
      </c>
      <c r="H46" s="14" t="s">
        <v>27</v>
      </c>
      <c r="I46" s="48">
        <f>85*50/90</f>
        <v>47.222222222222221</v>
      </c>
      <c r="J46" s="48">
        <v>50</v>
      </c>
      <c r="K46" s="48">
        <f t="shared" si="2"/>
        <v>97.222222222222229</v>
      </c>
      <c r="L46" s="30">
        <f t="shared" si="0"/>
        <v>369.64464888978182</v>
      </c>
      <c r="M46" s="22"/>
    </row>
    <row r="47" spans="1:13" s="13" customFormat="1" ht="15.75">
      <c r="A47" s="12">
        <v>35</v>
      </c>
      <c r="B47" s="12" t="s">
        <v>240</v>
      </c>
      <c r="C47" s="12" t="s">
        <v>7</v>
      </c>
      <c r="D47" s="14">
        <v>58.33</v>
      </c>
      <c r="E47" s="14" t="s">
        <v>2</v>
      </c>
      <c r="F47" s="14">
        <v>112</v>
      </c>
      <c r="G47" s="14">
        <f t="shared" si="1"/>
        <v>65.329599999999999</v>
      </c>
      <c r="H47" s="14" t="s">
        <v>120</v>
      </c>
      <c r="I47" s="48">
        <f>90*50/100</f>
        <v>45</v>
      </c>
      <c r="J47" s="48">
        <v>50</v>
      </c>
      <c r="K47" s="48">
        <f t="shared" si="2"/>
        <v>95</v>
      </c>
      <c r="L47" s="30">
        <f t="shared" si="0"/>
        <v>205.18926888212624</v>
      </c>
      <c r="M47" s="22"/>
    </row>
    <row r="48" spans="1:13" s="13" customFormat="1" ht="15.75">
      <c r="A48" s="12">
        <v>36</v>
      </c>
      <c r="B48" s="12" t="s">
        <v>57</v>
      </c>
      <c r="C48" s="12" t="s">
        <v>7</v>
      </c>
      <c r="D48" s="14">
        <v>100</v>
      </c>
      <c r="E48" s="14" t="s">
        <v>13</v>
      </c>
      <c r="F48" s="14">
        <v>115</v>
      </c>
      <c r="G48" s="14">
        <f t="shared" si="1"/>
        <v>115</v>
      </c>
      <c r="H48" s="14" t="s">
        <v>3</v>
      </c>
      <c r="I48" s="48">
        <f>83*50/90</f>
        <v>46.111111111111114</v>
      </c>
      <c r="J48" s="48">
        <v>50</v>
      </c>
      <c r="K48" s="48">
        <f t="shared" si="2"/>
        <v>96.111111111111114</v>
      </c>
      <c r="L48" s="30">
        <f t="shared" ref="L48:L68" si="3">($H$108/$G$108*G48)/100*K48</f>
        <v>365.42013861675571</v>
      </c>
      <c r="M48" s="22"/>
    </row>
    <row r="49" spans="1:13" s="13" customFormat="1" ht="15.75">
      <c r="A49" s="12">
        <v>37</v>
      </c>
      <c r="B49" s="12" t="s">
        <v>74</v>
      </c>
      <c r="C49" s="41" t="s">
        <v>44</v>
      </c>
      <c r="D49" s="14">
        <v>88.89</v>
      </c>
      <c r="E49" s="14" t="s">
        <v>12</v>
      </c>
      <c r="F49" s="14">
        <v>113</v>
      </c>
      <c r="G49" s="14">
        <f t="shared" si="1"/>
        <v>100.4457</v>
      </c>
      <c r="H49" s="14" t="s">
        <v>118</v>
      </c>
      <c r="I49" s="48">
        <f>96*50/100</f>
        <v>48</v>
      </c>
      <c r="J49" s="48">
        <v>40</v>
      </c>
      <c r="K49" s="48">
        <f t="shared" si="2"/>
        <v>88</v>
      </c>
      <c r="L49" s="30">
        <f t="shared" si="3"/>
        <v>292.23690616764003</v>
      </c>
      <c r="M49" s="23"/>
    </row>
    <row r="50" spans="1:13" s="13" customFormat="1" ht="15.75">
      <c r="A50" s="12">
        <v>38</v>
      </c>
      <c r="B50" s="12" t="s">
        <v>151</v>
      </c>
      <c r="C50" s="41" t="s">
        <v>7</v>
      </c>
      <c r="D50" s="14">
        <v>100</v>
      </c>
      <c r="E50" s="14" t="s">
        <v>2</v>
      </c>
      <c r="F50" s="14">
        <v>112</v>
      </c>
      <c r="G50" s="14">
        <f t="shared" si="1"/>
        <v>112</v>
      </c>
      <c r="H50" s="14" t="s">
        <v>120</v>
      </c>
      <c r="I50" s="48">
        <f>90*50/100</f>
        <v>45</v>
      </c>
      <c r="J50" s="48">
        <v>15</v>
      </c>
      <c r="K50" s="48">
        <f t="shared" si="2"/>
        <v>60</v>
      </c>
      <c r="L50" s="30">
        <f t="shared" si="3"/>
        <v>222.17250548923229</v>
      </c>
      <c r="M50" s="23"/>
    </row>
    <row r="51" spans="1:13" s="13" customFormat="1" ht="15.75">
      <c r="A51" s="12">
        <v>39</v>
      </c>
      <c r="B51" s="12" t="s">
        <v>152</v>
      </c>
      <c r="C51" s="41" t="s">
        <v>7</v>
      </c>
      <c r="D51" s="14">
        <v>100</v>
      </c>
      <c r="E51" s="14" t="s">
        <v>2</v>
      </c>
      <c r="F51" s="14">
        <v>112</v>
      </c>
      <c r="G51" s="14">
        <f t="shared" si="1"/>
        <v>112</v>
      </c>
      <c r="H51" s="14" t="s">
        <v>27</v>
      </c>
      <c r="I51" s="48">
        <f>85*50/90</f>
        <v>47.222222222222221</v>
      </c>
      <c r="J51" s="48">
        <v>40</v>
      </c>
      <c r="K51" s="48">
        <f t="shared" si="2"/>
        <v>87.222222222222229</v>
      </c>
      <c r="L51" s="30">
        <f t="shared" si="3"/>
        <v>322.97299409082848</v>
      </c>
      <c r="M51" s="23"/>
    </row>
    <row r="52" spans="1:13" s="13" customFormat="1" ht="15.75">
      <c r="A52" s="12">
        <v>40</v>
      </c>
      <c r="B52" s="12" t="s">
        <v>75</v>
      </c>
      <c r="C52" s="12" t="s">
        <v>6</v>
      </c>
      <c r="D52" s="14">
        <v>50</v>
      </c>
      <c r="E52" s="14" t="s">
        <v>12</v>
      </c>
      <c r="F52" s="14">
        <v>113</v>
      </c>
      <c r="G52" s="14">
        <f t="shared" si="1"/>
        <v>56.5</v>
      </c>
      <c r="H52" s="14" t="s">
        <v>119</v>
      </c>
      <c r="I52" s="48">
        <f>85*50/90</f>
        <v>47.222222222222221</v>
      </c>
      <c r="J52" s="48">
        <v>40</v>
      </c>
      <c r="K52" s="48">
        <f t="shared" si="2"/>
        <v>87.222222222222229</v>
      </c>
      <c r="L52" s="30">
        <f t="shared" si="3"/>
        <v>162.92834076903401</v>
      </c>
      <c r="M52" s="23"/>
    </row>
    <row r="53" spans="1:13" s="13" customFormat="1" ht="15.75">
      <c r="A53" s="12">
        <v>41</v>
      </c>
      <c r="B53" s="12" t="s">
        <v>67</v>
      </c>
      <c r="C53" s="12" t="s">
        <v>7</v>
      </c>
      <c r="D53" s="14">
        <v>100</v>
      </c>
      <c r="E53" s="14" t="s">
        <v>12</v>
      </c>
      <c r="F53" s="14">
        <v>113</v>
      </c>
      <c r="G53" s="14">
        <f t="shared" si="1"/>
        <v>113</v>
      </c>
      <c r="H53" s="14" t="s">
        <v>118</v>
      </c>
      <c r="I53" s="48">
        <f>92*50/100</f>
        <v>46</v>
      </c>
      <c r="J53" s="48">
        <v>25</v>
      </c>
      <c r="K53" s="48">
        <f t="shared" si="2"/>
        <v>71</v>
      </c>
      <c r="L53" s="30">
        <f t="shared" si="3"/>
        <v>265.25148981251647</v>
      </c>
      <c r="M53" s="23"/>
    </row>
    <row r="54" spans="1:13" s="13" customFormat="1" ht="15.75">
      <c r="A54" s="12">
        <v>42</v>
      </c>
      <c r="B54" s="12" t="s">
        <v>153</v>
      </c>
      <c r="C54" s="12" t="s">
        <v>7</v>
      </c>
      <c r="D54" s="14">
        <v>50</v>
      </c>
      <c r="E54" s="14" t="s">
        <v>2</v>
      </c>
      <c r="F54" s="14">
        <v>112</v>
      </c>
      <c r="G54" s="14">
        <f t="shared" si="1"/>
        <v>56</v>
      </c>
      <c r="H54" s="14" t="s">
        <v>29</v>
      </c>
      <c r="I54" s="48">
        <f>75*50/90</f>
        <v>41.666666666666664</v>
      </c>
      <c r="J54" s="48">
        <v>0</v>
      </c>
      <c r="K54" s="48">
        <f t="shared" si="2"/>
        <v>41.666666666666664</v>
      </c>
      <c r="L54" s="30">
        <f t="shared" si="3"/>
        <v>77.143231072650096</v>
      </c>
      <c r="M54" s="23"/>
    </row>
    <row r="55" spans="1:13" s="13" customFormat="1" ht="15.75">
      <c r="A55" s="12">
        <v>43</v>
      </c>
      <c r="B55" s="12" t="s">
        <v>154</v>
      </c>
      <c r="C55" s="12" t="s">
        <v>7</v>
      </c>
      <c r="D55" s="14">
        <v>100</v>
      </c>
      <c r="E55" s="14" t="s">
        <v>2</v>
      </c>
      <c r="F55" s="14">
        <v>112</v>
      </c>
      <c r="G55" s="14">
        <f t="shared" si="1"/>
        <v>112</v>
      </c>
      <c r="H55" s="14" t="s">
        <v>29</v>
      </c>
      <c r="I55" s="48">
        <f>92*50/100</f>
        <v>46</v>
      </c>
      <c r="J55" s="48">
        <v>50</v>
      </c>
      <c r="K55" s="48">
        <f t="shared" si="2"/>
        <v>96</v>
      </c>
      <c r="L55" s="30">
        <f t="shared" si="3"/>
        <v>355.47600878277171</v>
      </c>
      <c r="M55" s="23"/>
    </row>
    <row r="56" spans="1:13" s="13" customFormat="1" ht="15.75">
      <c r="A56" s="12">
        <v>44</v>
      </c>
      <c r="B56" s="12" t="s">
        <v>155</v>
      </c>
      <c r="C56" s="12" t="s">
        <v>205</v>
      </c>
      <c r="D56" s="14">
        <v>91.67</v>
      </c>
      <c r="E56" s="14" t="s">
        <v>2</v>
      </c>
      <c r="F56" s="14">
        <v>112</v>
      </c>
      <c r="G56" s="14">
        <f t="shared" si="1"/>
        <v>102.67040000000001</v>
      </c>
      <c r="H56" s="14" t="s">
        <v>126</v>
      </c>
      <c r="I56" s="48">
        <f>75*50/90</f>
        <v>41.666666666666664</v>
      </c>
      <c r="J56" s="48">
        <v>25</v>
      </c>
      <c r="K56" s="48">
        <f t="shared" si="2"/>
        <v>66.666666666666657</v>
      </c>
      <c r="L56" s="30">
        <f t="shared" si="3"/>
        <v>226.29503975775475</v>
      </c>
      <c r="M56" s="23"/>
    </row>
    <row r="57" spans="1:13" s="13" customFormat="1" ht="15.75">
      <c r="A57" s="12">
        <v>45</v>
      </c>
      <c r="B57" s="12" t="s">
        <v>63</v>
      </c>
      <c r="C57" s="12" t="s">
        <v>8</v>
      </c>
      <c r="D57" s="14">
        <v>66.67</v>
      </c>
      <c r="E57" s="14" t="s">
        <v>2</v>
      </c>
      <c r="F57" s="14">
        <v>112</v>
      </c>
      <c r="G57" s="14">
        <f t="shared" si="1"/>
        <v>74.670400000000001</v>
      </c>
      <c r="H57" s="14" t="s">
        <v>4</v>
      </c>
      <c r="I57" s="48">
        <f>80*50/90</f>
        <v>44.444444444444443</v>
      </c>
      <c r="J57" s="48">
        <v>0</v>
      </c>
      <c r="K57" s="48">
        <f t="shared" si="2"/>
        <v>44.444444444444443</v>
      </c>
      <c r="L57" s="30">
        <f t="shared" si="3"/>
        <v>109.7203032664231</v>
      </c>
      <c r="M57" s="23"/>
    </row>
    <row r="58" spans="1:13" s="13" customFormat="1" ht="15.75">
      <c r="A58" s="12">
        <v>46</v>
      </c>
      <c r="B58" s="12" t="s">
        <v>156</v>
      </c>
      <c r="C58" s="12" t="s">
        <v>7</v>
      </c>
      <c r="D58" s="14">
        <v>100</v>
      </c>
      <c r="E58" s="14" t="s">
        <v>2</v>
      </c>
      <c r="F58" s="14">
        <v>112</v>
      </c>
      <c r="G58" s="14">
        <f t="shared" si="1"/>
        <v>112</v>
      </c>
      <c r="H58" s="14" t="s">
        <v>4</v>
      </c>
      <c r="I58" s="48">
        <f>89*50/90</f>
        <v>49.444444444444443</v>
      </c>
      <c r="J58" s="48">
        <v>50</v>
      </c>
      <c r="K58" s="48">
        <f t="shared" si="2"/>
        <v>99.444444444444443</v>
      </c>
      <c r="L58" s="30">
        <f t="shared" si="3"/>
        <v>368.23035632011647</v>
      </c>
      <c r="M58" s="23"/>
    </row>
    <row r="59" spans="1:13" s="13" customFormat="1" ht="15.75">
      <c r="A59" s="12">
        <v>47</v>
      </c>
      <c r="B59" s="12" t="s">
        <v>64</v>
      </c>
      <c r="C59" s="12" t="s">
        <v>7</v>
      </c>
      <c r="D59" s="14">
        <v>100</v>
      </c>
      <c r="E59" s="14" t="s">
        <v>12</v>
      </c>
      <c r="F59" s="14">
        <v>113</v>
      </c>
      <c r="G59" s="14">
        <f t="shared" si="1"/>
        <v>113</v>
      </c>
      <c r="H59" s="14" t="s">
        <v>27</v>
      </c>
      <c r="I59" s="48">
        <f>88*50/90</f>
        <v>48.888888888888886</v>
      </c>
      <c r="J59" s="48">
        <v>50</v>
      </c>
      <c r="K59" s="48">
        <f t="shared" si="2"/>
        <v>98.888888888888886</v>
      </c>
      <c r="L59" s="30">
        <f t="shared" si="3"/>
        <v>369.44260709411526</v>
      </c>
      <c r="M59" s="23"/>
    </row>
    <row r="60" spans="1:13" s="13" customFormat="1" ht="15.75">
      <c r="A60" s="12">
        <v>48</v>
      </c>
      <c r="B60" s="12" t="s">
        <v>157</v>
      </c>
      <c r="C60" s="12" t="s">
        <v>7</v>
      </c>
      <c r="D60" s="14">
        <v>100</v>
      </c>
      <c r="E60" s="14" t="s">
        <v>2</v>
      </c>
      <c r="F60" s="14">
        <v>112</v>
      </c>
      <c r="G60" s="14">
        <f t="shared" si="1"/>
        <v>112</v>
      </c>
      <c r="H60" s="14" t="s">
        <v>29</v>
      </c>
      <c r="I60" s="48">
        <f>85*50/90</f>
        <v>47.222222222222221</v>
      </c>
      <c r="J60" s="48">
        <v>15</v>
      </c>
      <c r="K60" s="48">
        <f t="shared" si="2"/>
        <v>62.222222222222221</v>
      </c>
      <c r="L60" s="30">
        <f t="shared" si="3"/>
        <v>230.40111680364831</v>
      </c>
      <c r="M60" s="23"/>
    </row>
    <row r="61" spans="1:13" s="13" customFormat="1" ht="15.75">
      <c r="A61" s="12">
        <v>49</v>
      </c>
      <c r="B61" s="12" t="s">
        <v>158</v>
      </c>
      <c r="C61" s="12" t="s">
        <v>7</v>
      </c>
      <c r="D61" s="14">
        <v>100</v>
      </c>
      <c r="E61" s="14" t="s">
        <v>2</v>
      </c>
      <c r="F61" s="14">
        <v>112</v>
      </c>
      <c r="G61" s="14">
        <f t="shared" si="1"/>
        <v>112</v>
      </c>
      <c r="H61" s="14" t="s">
        <v>4</v>
      </c>
      <c r="I61" s="48">
        <f>89*50/90</f>
        <v>49.444444444444443</v>
      </c>
      <c r="J61" s="48">
        <v>50</v>
      </c>
      <c r="K61" s="48">
        <f t="shared" si="2"/>
        <v>99.444444444444443</v>
      </c>
      <c r="L61" s="30">
        <f t="shared" si="3"/>
        <v>368.23035632011647</v>
      </c>
      <c r="M61" s="23"/>
    </row>
    <row r="62" spans="1:13" s="13" customFormat="1" ht="15.75">
      <c r="A62" s="12">
        <v>50</v>
      </c>
      <c r="B62" s="12" t="s">
        <v>159</v>
      </c>
      <c r="C62" s="12" t="s">
        <v>7</v>
      </c>
      <c r="D62" s="14">
        <v>100</v>
      </c>
      <c r="E62" s="14" t="s">
        <v>2</v>
      </c>
      <c r="F62" s="14">
        <v>112</v>
      </c>
      <c r="G62" s="14">
        <f t="shared" si="1"/>
        <v>112</v>
      </c>
      <c r="H62" s="14" t="s">
        <v>27</v>
      </c>
      <c r="I62" s="48">
        <f>81*50/90</f>
        <v>45</v>
      </c>
      <c r="J62" s="48">
        <v>15</v>
      </c>
      <c r="K62" s="48">
        <f t="shared" si="2"/>
        <v>60</v>
      </c>
      <c r="L62" s="30">
        <f t="shared" si="3"/>
        <v>222.17250548923229</v>
      </c>
      <c r="M62" s="23"/>
    </row>
    <row r="63" spans="1:13" s="13" customFormat="1" ht="15.75">
      <c r="A63" s="12">
        <v>51</v>
      </c>
      <c r="B63" s="12" t="s">
        <v>160</v>
      </c>
      <c r="C63" s="12" t="s">
        <v>7</v>
      </c>
      <c r="D63" s="14">
        <v>100</v>
      </c>
      <c r="E63" s="14" t="s">
        <v>2</v>
      </c>
      <c r="F63" s="14">
        <v>112</v>
      </c>
      <c r="G63" s="14">
        <f t="shared" si="1"/>
        <v>112</v>
      </c>
      <c r="H63" s="14" t="s">
        <v>126</v>
      </c>
      <c r="I63" s="48">
        <f>76*50/90</f>
        <v>42.222222222222221</v>
      </c>
      <c r="J63" s="48">
        <v>50</v>
      </c>
      <c r="K63" s="48">
        <f t="shared" si="2"/>
        <v>92.222222222222229</v>
      </c>
      <c r="L63" s="30">
        <f t="shared" si="3"/>
        <v>341.4873695482645</v>
      </c>
      <c r="M63" s="23"/>
    </row>
    <row r="64" spans="1:13" s="13" customFormat="1" ht="15.75">
      <c r="A64" s="12">
        <v>52</v>
      </c>
      <c r="B64" s="12" t="s">
        <v>196</v>
      </c>
      <c r="C64" s="12" t="s">
        <v>218</v>
      </c>
      <c r="D64" s="14">
        <v>95.83</v>
      </c>
      <c r="E64" s="14" t="s">
        <v>12</v>
      </c>
      <c r="F64" s="14">
        <v>113</v>
      </c>
      <c r="G64" s="14">
        <f t="shared" si="1"/>
        <v>108.28789999999999</v>
      </c>
      <c r="H64" s="14" t="s">
        <v>117</v>
      </c>
      <c r="I64" s="48">
        <f>89*50/100</f>
        <v>44.5</v>
      </c>
      <c r="J64" s="48">
        <v>25</v>
      </c>
      <c r="K64" s="48">
        <f t="shared" si="2"/>
        <v>69.5</v>
      </c>
      <c r="L64" s="30">
        <f t="shared" si="3"/>
        <v>248.82028079957394</v>
      </c>
      <c r="M64" s="23"/>
    </row>
    <row r="65" spans="1:13" s="13" customFormat="1" ht="15.75">
      <c r="A65" s="12">
        <v>53</v>
      </c>
      <c r="B65" s="12" t="s">
        <v>161</v>
      </c>
      <c r="C65" s="12" t="s">
        <v>7</v>
      </c>
      <c r="D65" s="14">
        <v>100</v>
      </c>
      <c r="E65" s="14" t="s">
        <v>2</v>
      </c>
      <c r="F65" s="14">
        <v>112</v>
      </c>
      <c r="G65" s="14">
        <f t="shared" si="1"/>
        <v>112</v>
      </c>
      <c r="H65" s="14" t="s">
        <v>29</v>
      </c>
      <c r="I65" s="48">
        <f>85.5*50/90</f>
        <v>47.5</v>
      </c>
      <c r="J65" s="48">
        <v>25</v>
      </c>
      <c r="K65" s="48">
        <f t="shared" si="2"/>
        <v>72.5</v>
      </c>
      <c r="L65" s="30">
        <f t="shared" si="3"/>
        <v>268.45844413282236</v>
      </c>
      <c r="M65" s="23"/>
    </row>
    <row r="66" spans="1:13" s="13" customFormat="1" ht="15.75">
      <c r="A66" s="12">
        <v>54</v>
      </c>
      <c r="B66" s="12" t="s">
        <v>162</v>
      </c>
      <c r="C66" s="12" t="s">
        <v>7</v>
      </c>
      <c r="D66" s="14">
        <v>100</v>
      </c>
      <c r="E66" s="14" t="s">
        <v>2</v>
      </c>
      <c r="F66" s="14">
        <v>112</v>
      </c>
      <c r="G66" s="14">
        <f t="shared" si="1"/>
        <v>112</v>
      </c>
      <c r="H66" s="14" t="s">
        <v>3</v>
      </c>
      <c r="I66" s="48">
        <f>70*50/90</f>
        <v>38.888888888888886</v>
      </c>
      <c r="J66" s="48">
        <v>5</v>
      </c>
      <c r="K66" s="48">
        <f t="shared" si="2"/>
        <v>43.888888888888886</v>
      </c>
      <c r="L66" s="30">
        <f t="shared" si="3"/>
        <v>162.51507345971621</v>
      </c>
      <c r="M66" s="23"/>
    </row>
    <row r="67" spans="1:13" s="13" customFormat="1" ht="15.75">
      <c r="A67" s="12">
        <v>55</v>
      </c>
      <c r="B67" s="12" t="s">
        <v>76</v>
      </c>
      <c r="C67" s="12" t="s">
        <v>7</v>
      </c>
      <c r="D67" s="14">
        <v>100</v>
      </c>
      <c r="E67" s="14" t="s">
        <v>12</v>
      </c>
      <c r="F67" s="14">
        <v>113</v>
      </c>
      <c r="G67" s="14">
        <f t="shared" si="1"/>
        <v>113</v>
      </c>
      <c r="H67" s="14" t="s">
        <v>120</v>
      </c>
      <c r="I67" s="48">
        <f>90*50/100</f>
        <v>45</v>
      </c>
      <c r="J67" s="48">
        <v>50</v>
      </c>
      <c r="K67" s="48">
        <f t="shared" si="2"/>
        <v>95</v>
      </c>
      <c r="L67" s="30">
        <f t="shared" si="3"/>
        <v>354.91396524209949</v>
      </c>
      <c r="M67" s="23"/>
    </row>
    <row r="68" spans="1:13" s="13" customFormat="1" ht="15.75">
      <c r="A68" s="12">
        <v>56</v>
      </c>
      <c r="B68" s="12" t="s">
        <v>197</v>
      </c>
      <c r="C68" s="12" t="s">
        <v>7</v>
      </c>
      <c r="D68" s="14">
        <v>100</v>
      </c>
      <c r="E68" s="14" t="s">
        <v>2</v>
      </c>
      <c r="F68" s="14">
        <v>112</v>
      </c>
      <c r="G68" s="14">
        <f t="shared" si="1"/>
        <v>112</v>
      </c>
      <c r="H68" s="14" t="s">
        <v>27</v>
      </c>
      <c r="I68" s="48">
        <f>86*50/90</f>
        <v>47.777777777777779</v>
      </c>
      <c r="J68" s="48">
        <v>50</v>
      </c>
      <c r="K68" s="48">
        <f t="shared" si="2"/>
        <v>97.777777777777771</v>
      </c>
      <c r="L68" s="30">
        <f t="shared" si="3"/>
        <v>362.05889783430445</v>
      </c>
      <c r="M68" s="23"/>
    </row>
    <row r="69" spans="1:13" s="13" customFormat="1" ht="15.75">
      <c r="A69" s="12">
        <v>57</v>
      </c>
      <c r="B69" s="12" t="s">
        <v>163</v>
      </c>
      <c r="C69" s="12" t="s">
        <v>7</v>
      </c>
      <c r="D69" s="14">
        <v>100</v>
      </c>
      <c r="E69" s="14" t="s">
        <v>2</v>
      </c>
      <c r="F69" s="14">
        <v>112</v>
      </c>
      <c r="G69" s="14">
        <f t="shared" si="1"/>
        <v>112</v>
      </c>
      <c r="H69" s="14" t="s">
        <v>4</v>
      </c>
      <c r="I69" s="48">
        <f>90*50/90</f>
        <v>50</v>
      </c>
      <c r="J69" s="48">
        <v>50</v>
      </c>
      <c r="K69" s="48">
        <f t="shared" si="2"/>
        <v>100</v>
      </c>
      <c r="L69" s="30">
        <f t="shared" ref="L69:L76" si="4">($H$108/$G$108*G69)/100*K69</f>
        <v>370.28750914872052</v>
      </c>
      <c r="M69" s="23"/>
    </row>
    <row r="70" spans="1:13" s="13" customFormat="1" ht="15.75">
      <c r="A70" s="12">
        <v>58</v>
      </c>
      <c r="B70" s="12" t="s">
        <v>198</v>
      </c>
      <c r="C70" s="12" t="s">
        <v>219</v>
      </c>
      <c r="D70" s="14">
        <v>75</v>
      </c>
      <c r="E70" s="14" t="s">
        <v>2</v>
      </c>
      <c r="F70" s="14">
        <v>112</v>
      </c>
      <c r="G70" s="14">
        <f t="shared" si="1"/>
        <v>84</v>
      </c>
      <c r="H70" s="14" t="s">
        <v>126</v>
      </c>
      <c r="I70" s="48">
        <f>62*50/90</f>
        <v>34.444444444444443</v>
      </c>
      <c r="J70" s="48">
        <v>50</v>
      </c>
      <c r="K70" s="48">
        <f t="shared" si="2"/>
        <v>84.444444444444443</v>
      </c>
      <c r="L70" s="30">
        <f t="shared" si="4"/>
        <v>234.51542246085629</v>
      </c>
      <c r="M70" s="23"/>
    </row>
    <row r="71" spans="1:13" s="13" customFormat="1" ht="15.75">
      <c r="A71" s="12">
        <v>59</v>
      </c>
      <c r="B71" s="12" t="s">
        <v>164</v>
      </c>
      <c r="C71" s="12" t="s">
        <v>7</v>
      </c>
      <c r="D71" s="14">
        <v>100</v>
      </c>
      <c r="E71" s="14" t="s">
        <v>2</v>
      </c>
      <c r="F71" s="14">
        <v>112</v>
      </c>
      <c r="G71" s="14">
        <f t="shared" si="1"/>
        <v>112</v>
      </c>
      <c r="H71" s="14" t="s">
        <v>126</v>
      </c>
      <c r="I71" s="48">
        <f>78*50/90</f>
        <v>43.333333333333336</v>
      </c>
      <c r="J71" s="48">
        <v>25</v>
      </c>
      <c r="K71" s="48">
        <f t="shared" si="2"/>
        <v>68.333333333333343</v>
      </c>
      <c r="L71" s="30">
        <f t="shared" si="4"/>
        <v>253.02979791829239</v>
      </c>
      <c r="M71" s="23"/>
    </row>
    <row r="72" spans="1:13" s="13" customFormat="1" ht="15.75">
      <c r="A72" s="12">
        <v>60</v>
      </c>
      <c r="B72" s="12" t="s">
        <v>165</v>
      </c>
      <c r="C72" s="12" t="s">
        <v>7</v>
      </c>
      <c r="D72" s="14">
        <v>100</v>
      </c>
      <c r="E72" s="14" t="s">
        <v>2</v>
      </c>
      <c r="F72" s="14">
        <v>112</v>
      </c>
      <c r="G72" s="14">
        <f t="shared" si="1"/>
        <v>112</v>
      </c>
      <c r="H72" s="14" t="s">
        <v>29</v>
      </c>
      <c r="I72" s="48">
        <f>83.5*50/90</f>
        <v>46.388888888888886</v>
      </c>
      <c r="J72" s="48">
        <v>40</v>
      </c>
      <c r="K72" s="48">
        <f t="shared" si="2"/>
        <v>86.388888888888886</v>
      </c>
      <c r="L72" s="30">
        <f t="shared" si="4"/>
        <v>319.88726484792244</v>
      </c>
      <c r="M72" s="23"/>
    </row>
    <row r="73" spans="1:13" s="13" customFormat="1" ht="15.75">
      <c r="A73" s="12">
        <v>61</v>
      </c>
      <c r="B73" s="12" t="s">
        <v>58</v>
      </c>
      <c r="C73" s="12" t="s">
        <v>8</v>
      </c>
      <c r="D73" s="14">
        <f>100/3*2</f>
        <v>66.666666666666671</v>
      </c>
      <c r="E73" s="14" t="s">
        <v>12</v>
      </c>
      <c r="F73" s="14">
        <v>113</v>
      </c>
      <c r="G73" s="14">
        <f t="shared" si="1"/>
        <v>75.333333333333343</v>
      </c>
      <c r="H73" s="14" t="s">
        <v>4</v>
      </c>
      <c r="I73" s="48">
        <f>84*50/90</f>
        <v>46.666666666666664</v>
      </c>
      <c r="J73" s="48">
        <v>40</v>
      </c>
      <c r="K73" s="48">
        <f t="shared" si="2"/>
        <v>86.666666666666657</v>
      </c>
      <c r="L73" s="30">
        <f t="shared" si="4"/>
        <v>215.85410751566289</v>
      </c>
      <c r="M73" s="23"/>
    </row>
    <row r="74" spans="1:13" s="13" customFormat="1" ht="15.75">
      <c r="A74" s="12">
        <v>62</v>
      </c>
      <c r="B74" s="12" t="s">
        <v>77</v>
      </c>
      <c r="C74" s="12" t="s">
        <v>7</v>
      </c>
      <c r="D74" s="14">
        <v>100</v>
      </c>
      <c r="E74" s="14" t="s">
        <v>12</v>
      </c>
      <c r="F74" s="14">
        <v>113</v>
      </c>
      <c r="G74" s="14">
        <f t="shared" si="1"/>
        <v>113</v>
      </c>
      <c r="H74" s="14" t="s">
        <v>118</v>
      </c>
      <c r="I74" s="48">
        <f>88*50/100</f>
        <v>44</v>
      </c>
      <c r="J74" s="48">
        <v>25</v>
      </c>
      <c r="K74" s="48">
        <f t="shared" si="2"/>
        <v>69</v>
      </c>
      <c r="L74" s="30">
        <f t="shared" si="4"/>
        <v>257.77961686005119</v>
      </c>
      <c r="M74" s="23"/>
    </row>
    <row r="75" spans="1:13" s="13" customFormat="1" ht="15.75">
      <c r="A75" s="12">
        <v>63</v>
      </c>
      <c r="B75" s="12" t="s">
        <v>166</v>
      </c>
      <c r="C75" s="12" t="s">
        <v>7</v>
      </c>
      <c r="D75" s="14">
        <v>100</v>
      </c>
      <c r="E75" s="14" t="s">
        <v>2</v>
      </c>
      <c r="F75" s="14">
        <v>112</v>
      </c>
      <c r="G75" s="14">
        <f t="shared" si="1"/>
        <v>112</v>
      </c>
      <c r="H75" s="14" t="s">
        <v>126</v>
      </c>
      <c r="I75" s="48">
        <f>79*50/90</f>
        <v>43.888888888888886</v>
      </c>
      <c r="J75" s="48">
        <v>40</v>
      </c>
      <c r="K75" s="48">
        <f t="shared" si="2"/>
        <v>83.888888888888886</v>
      </c>
      <c r="L75" s="30">
        <f t="shared" si="4"/>
        <v>310.63007711920443</v>
      </c>
      <c r="M75" s="23"/>
    </row>
    <row r="76" spans="1:13" s="13" customFormat="1" ht="15.75">
      <c r="A76" s="12">
        <v>64</v>
      </c>
      <c r="B76" s="12" t="s">
        <v>84</v>
      </c>
      <c r="C76" s="12" t="s">
        <v>7</v>
      </c>
      <c r="D76" s="14">
        <v>100</v>
      </c>
      <c r="E76" s="14" t="s">
        <v>0</v>
      </c>
      <c r="F76" s="14">
        <f>(119/12*4)+(130/12*8)</f>
        <v>126.33333333333334</v>
      </c>
      <c r="G76" s="14">
        <f t="shared" si="1"/>
        <v>126.33333333333334</v>
      </c>
      <c r="H76" s="14" t="s">
        <v>124</v>
      </c>
      <c r="I76" s="48">
        <f>52*50/60</f>
        <v>43.333333333333336</v>
      </c>
      <c r="J76" s="48">
        <v>50</v>
      </c>
      <c r="K76" s="48">
        <f t="shared" si="2"/>
        <v>93.333333333333343</v>
      </c>
      <c r="L76" s="30">
        <f t="shared" si="4"/>
        <v>389.83046102045864</v>
      </c>
      <c r="M76" s="23"/>
    </row>
    <row r="77" spans="1:13" s="13" customFormat="1" ht="15.75">
      <c r="A77" s="12">
        <v>65</v>
      </c>
      <c r="B77" s="12" t="s">
        <v>78</v>
      </c>
      <c r="C77" s="12" t="s">
        <v>8</v>
      </c>
      <c r="D77" s="14">
        <f>100/36*24</f>
        <v>66.666666666666657</v>
      </c>
      <c r="E77" s="14" t="s">
        <v>12</v>
      </c>
      <c r="F77" s="14">
        <v>113</v>
      </c>
      <c r="G77" s="14">
        <f t="shared" si="1"/>
        <v>75.333333333333314</v>
      </c>
      <c r="H77" s="14" t="s">
        <v>3</v>
      </c>
      <c r="I77" s="48">
        <f>75.5*50/90</f>
        <v>41.944444444444443</v>
      </c>
      <c r="J77" s="48">
        <v>0</v>
      </c>
      <c r="K77" s="48">
        <f t="shared" si="2"/>
        <v>41.944444444444443</v>
      </c>
      <c r="L77" s="30">
        <f t="shared" ref="L77:L91" si="5">($H$108/$G$108*G77)/100*K77</f>
        <v>104.46785331687528</v>
      </c>
      <c r="M77" s="23"/>
    </row>
    <row r="78" spans="1:13" s="13" customFormat="1" ht="15.75">
      <c r="A78" s="12">
        <v>66</v>
      </c>
      <c r="B78" s="12" t="s">
        <v>171</v>
      </c>
      <c r="C78" s="12" t="s">
        <v>7</v>
      </c>
      <c r="D78" s="14">
        <v>100</v>
      </c>
      <c r="E78" s="14" t="s">
        <v>2</v>
      </c>
      <c r="F78" s="14">
        <v>112</v>
      </c>
      <c r="G78" s="14">
        <f t="shared" si="1"/>
        <v>112</v>
      </c>
      <c r="H78" s="14" t="s">
        <v>118</v>
      </c>
      <c r="I78" s="48">
        <f>89*50/90</f>
        <v>49.444444444444443</v>
      </c>
      <c r="J78" s="48">
        <v>40</v>
      </c>
      <c r="K78" s="48">
        <f t="shared" si="2"/>
        <v>89.444444444444443</v>
      </c>
      <c r="L78" s="30">
        <f t="shared" si="5"/>
        <v>331.20160540524444</v>
      </c>
      <c r="M78" s="23"/>
    </row>
    <row r="79" spans="1:13" s="13" customFormat="1" ht="15.75">
      <c r="A79" s="12">
        <v>67</v>
      </c>
      <c r="B79" s="12" t="s">
        <v>69</v>
      </c>
      <c r="C79" s="12" t="s">
        <v>7</v>
      </c>
      <c r="D79" s="14">
        <v>100</v>
      </c>
      <c r="E79" s="14" t="s">
        <v>2</v>
      </c>
      <c r="F79" s="14">
        <v>112</v>
      </c>
      <c r="G79" s="14">
        <f t="shared" si="1"/>
        <v>112</v>
      </c>
      <c r="H79" s="14" t="s">
        <v>3</v>
      </c>
      <c r="I79" s="48">
        <f>70*50/90</f>
        <v>38.888888888888886</v>
      </c>
      <c r="J79" s="48">
        <v>15</v>
      </c>
      <c r="K79" s="48">
        <f t="shared" si="2"/>
        <v>53.888888888888886</v>
      </c>
      <c r="L79" s="30">
        <f t="shared" si="5"/>
        <v>199.54382437458827</v>
      </c>
      <c r="M79" s="23"/>
    </row>
    <row r="80" spans="1:13" s="13" customFormat="1" ht="15.75">
      <c r="A80" s="12">
        <v>68</v>
      </c>
      <c r="B80" s="12" t="s">
        <v>172</v>
      </c>
      <c r="C80" s="12" t="s">
        <v>7</v>
      </c>
      <c r="D80" s="14">
        <v>100</v>
      </c>
      <c r="E80" s="14" t="s">
        <v>2</v>
      </c>
      <c r="F80" s="14">
        <v>112</v>
      </c>
      <c r="G80" s="14">
        <f t="shared" si="1"/>
        <v>112</v>
      </c>
      <c r="H80" s="14" t="s">
        <v>29</v>
      </c>
      <c r="I80" s="48">
        <f>81*50/90</f>
        <v>45</v>
      </c>
      <c r="J80" s="48">
        <v>15</v>
      </c>
      <c r="K80" s="48">
        <f t="shared" si="2"/>
        <v>60</v>
      </c>
      <c r="L80" s="30">
        <f t="shared" si="5"/>
        <v>222.17250548923229</v>
      </c>
      <c r="M80" s="23"/>
    </row>
    <row r="81" spans="1:13" s="13" customFormat="1" ht="15.75">
      <c r="A81" s="12">
        <v>69</v>
      </c>
      <c r="B81" s="12" t="s">
        <v>173</v>
      </c>
      <c r="C81" s="12" t="s">
        <v>7</v>
      </c>
      <c r="D81" s="14">
        <v>100</v>
      </c>
      <c r="E81" s="14" t="s">
        <v>2</v>
      </c>
      <c r="F81" s="14">
        <v>112</v>
      </c>
      <c r="G81" s="14">
        <f t="shared" ref="G81:G106" si="6">F81*D81/100</f>
        <v>112</v>
      </c>
      <c r="H81" s="14" t="s">
        <v>4</v>
      </c>
      <c r="I81" s="48">
        <f>87*50/90</f>
        <v>48.333333333333336</v>
      </c>
      <c r="J81" s="48">
        <v>50</v>
      </c>
      <c r="K81" s="48">
        <f t="shared" si="2"/>
        <v>98.333333333333343</v>
      </c>
      <c r="L81" s="30">
        <f t="shared" si="5"/>
        <v>364.11605066290855</v>
      </c>
      <c r="M81" s="23"/>
    </row>
    <row r="82" spans="1:13" s="13" customFormat="1" ht="15.75">
      <c r="A82" s="12">
        <v>70</v>
      </c>
      <c r="B82" s="12" t="s">
        <v>174</v>
      </c>
      <c r="C82" s="12" t="s">
        <v>7</v>
      </c>
      <c r="D82" s="14">
        <v>93.42</v>
      </c>
      <c r="E82" s="14" t="s">
        <v>2</v>
      </c>
      <c r="F82" s="14">
        <v>112</v>
      </c>
      <c r="G82" s="14">
        <f t="shared" si="6"/>
        <v>104.63040000000001</v>
      </c>
      <c r="H82" s="14" t="s">
        <v>125</v>
      </c>
      <c r="I82" s="48">
        <f>88*50/100</f>
        <v>44</v>
      </c>
      <c r="J82" s="48">
        <v>40</v>
      </c>
      <c r="K82" s="48">
        <f t="shared" ref="K82:K106" si="7">SUM(I82:J82)</f>
        <v>84</v>
      </c>
      <c r="L82" s="30">
        <f t="shared" si="5"/>
        <v>290.57497647925715</v>
      </c>
      <c r="M82" s="23"/>
    </row>
    <row r="83" spans="1:13" s="13" customFormat="1" ht="15.75">
      <c r="A83" s="12">
        <v>71</v>
      </c>
      <c r="B83" s="12" t="s">
        <v>237</v>
      </c>
      <c r="C83" s="12" t="s">
        <v>7</v>
      </c>
      <c r="D83" s="14">
        <v>100</v>
      </c>
      <c r="E83" s="14" t="s">
        <v>2</v>
      </c>
      <c r="F83" s="14">
        <v>112</v>
      </c>
      <c r="G83" s="14">
        <f t="shared" si="6"/>
        <v>112</v>
      </c>
      <c r="H83" s="14" t="s">
        <v>125</v>
      </c>
      <c r="I83" s="48">
        <f>86*50/100</f>
        <v>43</v>
      </c>
      <c r="J83" s="48">
        <v>50</v>
      </c>
      <c r="K83" s="48">
        <f t="shared" si="7"/>
        <v>93</v>
      </c>
      <c r="L83" s="30">
        <f t="shared" si="5"/>
        <v>344.36738350831007</v>
      </c>
      <c r="M83" s="23"/>
    </row>
    <row r="84" spans="1:13" s="13" customFormat="1" ht="15.75">
      <c r="A84" s="12">
        <v>72</v>
      </c>
      <c r="B84" s="12" t="s">
        <v>59</v>
      </c>
      <c r="C84" s="12" t="s">
        <v>8</v>
      </c>
      <c r="D84" s="14">
        <f>100/3*2</f>
        <v>66.666666666666671</v>
      </c>
      <c r="E84" s="14" t="s">
        <v>12</v>
      </c>
      <c r="F84" s="14">
        <v>113</v>
      </c>
      <c r="G84" s="14">
        <f t="shared" si="6"/>
        <v>75.333333333333343</v>
      </c>
      <c r="H84" s="14" t="s">
        <v>29</v>
      </c>
      <c r="I84" s="48">
        <f>89*50/90</f>
        <v>49.444444444444443</v>
      </c>
      <c r="J84" s="48">
        <v>50</v>
      </c>
      <c r="K84" s="48">
        <f t="shared" si="7"/>
        <v>99.444444444444443</v>
      </c>
      <c r="L84" s="30">
        <f t="shared" si="5"/>
        <v>247.67875157245936</v>
      </c>
      <c r="M84" s="23"/>
    </row>
    <row r="85" spans="1:13" s="13" customFormat="1" ht="15.75">
      <c r="A85" s="12">
        <v>73</v>
      </c>
      <c r="B85" s="12" t="s">
        <v>199</v>
      </c>
      <c r="C85" s="12" t="s">
        <v>7</v>
      </c>
      <c r="D85" s="14">
        <v>100</v>
      </c>
      <c r="E85" s="14" t="s">
        <v>2</v>
      </c>
      <c r="F85" s="14">
        <v>112</v>
      </c>
      <c r="G85" s="14">
        <f t="shared" si="6"/>
        <v>112</v>
      </c>
      <c r="H85" s="14" t="s">
        <v>27</v>
      </c>
      <c r="I85" s="48">
        <f>83*50/90</f>
        <v>46.111111111111114</v>
      </c>
      <c r="J85" s="48">
        <v>50</v>
      </c>
      <c r="K85" s="48">
        <f t="shared" si="7"/>
        <v>96.111111111111114</v>
      </c>
      <c r="L85" s="30">
        <f t="shared" si="5"/>
        <v>355.88743934849248</v>
      </c>
      <c r="M85" s="23"/>
    </row>
    <row r="86" spans="1:13" s="13" customFormat="1" ht="15.75">
      <c r="A86" s="12">
        <v>74</v>
      </c>
      <c r="B86" s="12" t="s">
        <v>175</v>
      </c>
      <c r="C86" s="12" t="s">
        <v>7</v>
      </c>
      <c r="D86" s="14">
        <v>100</v>
      </c>
      <c r="E86" s="14" t="s">
        <v>2</v>
      </c>
      <c r="F86" s="14">
        <v>112</v>
      </c>
      <c r="G86" s="14">
        <f t="shared" si="6"/>
        <v>112</v>
      </c>
      <c r="H86" s="14" t="s">
        <v>125</v>
      </c>
      <c r="I86" s="48">
        <f>92*50/100</f>
        <v>46</v>
      </c>
      <c r="J86" s="48">
        <v>50</v>
      </c>
      <c r="K86" s="48">
        <f t="shared" si="7"/>
        <v>96</v>
      </c>
      <c r="L86" s="30">
        <f t="shared" si="5"/>
        <v>355.47600878277171</v>
      </c>
      <c r="M86" s="23"/>
    </row>
    <row r="87" spans="1:13" s="13" customFormat="1" ht="15.75">
      <c r="A87" s="12">
        <v>75</v>
      </c>
      <c r="B87" s="12" t="s">
        <v>50</v>
      </c>
      <c r="C87" s="12" t="s">
        <v>7</v>
      </c>
      <c r="D87" s="14">
        <v>100</v>
      </c>
      <c r="E87" s="14" t="s">
        <v>2</v>
      </c>
      <c r="F87" s="14">
        <v>112</v>
      </c>
      <c r="G87" s="14">
        <f t="shared" si="6"/>
        <v>112</v>
      </c>
      <c r="H87" s="14" t="s">
        <v>29</v>
      </c>
      <c r="I87" s="48">
        <f>86*50/90</f>
        <v>47.777777777777779</v>
      </c>
      <c r="J87" s="48">
        <v>15</v>
      </c>
      <c r="K87" s="48">
        <f t="shared" si="7"/>
        <v>62.777777777777779</v>
      </c>
      <c r="L87" s="30">
        <f t="shared" si="5"/>
        <v>232.45826963225232</v>
      </c>
      <c r="M87" s="23"/>
    </row>
    <row r="88" spans="1:13" s="13" customFormat="1" ht="15.75">
      <c r="A88" s="12">
        <v>76</v>
      </c>
      <c r="B88" s="12" t="s">
        <v>79</v>
      </c>
      <c r="C88" s="12" t="s">
        <v>220</v>
      </c>
      <c r="D88" s="14">
        <v>97.22</v>
      </c>
      <c r="E88" s="14" t="s">
        <v>12</v>
      </c>
      <c r="F88" s="14">
        <v>113</v>
      </c>
      <c r="G88" s="14">
        <f t="shared" si="6"/>
        <v>109.85860000000001</v>
      </c>
      <c r="H88" s="14" t="s">
        <v>118</v>
      </c>
      <c r="I88" s="48">
        <f>90*50/100</f>
        <v>45</v>
      </c>
      <c r="J88" s="48">
        <v>0</v>
      </c>
      <c r="K88" s="48">
        <f t="shared" si="7"/>
        <v>45</v>
      </c>
      <c r="L88" s="30">
        <f t="shared" si="5"/>
        <v>163.4434848987012</v>
      </c>
      <c r="M88" s="23"/>
    </row>
    <row r="89" spans="1:13" s="13" customFormat="1" ht="15.75">
      <c r="A89" s="12">
        <v>77</v>
      </c>
      <c r="B89" s="12" t="s">
        <v>80</v>
      </c>
      <c r="C89" s="12" t="s">
        <v>7</v>
      </c>
      <c r="D89" s="14">
        <v>100</v>
      </c>
      <c r="E89" s="14" t="s">
        <v>12</v>
      </c>
      <c r="F89" s="14">
        <v>113</v>
      </c>
      <c r="G89" s="14">
        <f t="shared" si="6"/>
        <v>113</v>
      </c>
      <c r="H89" s="14" t="s">
        <v>120</v>
      </c>
      <c r="I89" s="48">
        <f>90*50/100</f>
        <v>45</v>
      </c>
      <c r="J89" s="48">
        <v>50</v>
      </c>
      <c r="K89" s="48">
        <f t="shared" si="7"/>
        <v>95</v>
      </c>
      <c r="L89" s="30">
        <f t="shared" si="5"/>
        <v>354.91396524209949</v>
      </c>
      <c r="M89" s="23"/>
    </row>
    <row r="90" spans="1:13" s="13" customFormat="1" ht="15.75">
      <c r="A90" s="12">
        <v>78</v>
      </c>
      <c r="B90" s="12" t="s">
        <v>176</v>
      </c>
      <c r="C90" s="12" t="s">
        <v>7</v>
      </c>
      <c r="D90" s="14">
        <v>100</v>
      </c>
      <c r="E90" s="14" t="s">
        <v>2</v>
      </c>
      <c r="F90" s="14">
        <v>112</v>
      </c>
      <c r="G90" s="14">
        <f t="shared" si="6"/>
        <v>112</v>
      </c>
      <c r="H90" s="14" t="s">
        <v>27</v>
      </c>
      <c r="I90" s="48">
        <f>85*50/90</f>
        <v>47.222222222222221</v>
      </c>
      <c r="J90" s="48">
        <v>25</v>
      </c>
      <c r="K90" s="48">
        <f t="shared" si="7"/>
        <v>72.222222222222229</v>
      </c>
      <c r="L90" s="30">
        <f t="shared" si="5"/>
        <v>267.42986771852037</v>
      </c>
      <c r="M90" s="23"/>
    </row>
    <row r="91" spans="1:13" s="13" customFormat="1" ht="15.75">
      <c r="A91" s="12">
        <v>79</v>
      </c>
      <c r="B91" s="12" t="s">
        <v>200</v>
      </c>
      <c r="C91" s="12" t="s">
        <v>7</v>
      </c>
      <c r="D91" s="14">
        <v>100</v>
      </c>
      <c r="E91" s="14" t="s">
        <v>2</v>
      </c>
      <c r="F91" s="14">
        <v>112</v>
      </c>
      <c r="G91" s="14">
        <f t="shared" si="6"/>
        <v>112</v>
      </c>
      <c r="H91" s="14" t="s">
        <v>3</v>
      </c>
      <c r="I91" s="48">
        <f>71*50/90</f>
        <v>39.444444444444443</v>
      </c>
      <c r="J91" s="48">
        <v>25</v>
      </c>
      <c r="K91" s="48">
        <f t="shared" si="7"/>
        <v>64.444444444444443</v>
      </c>
      <c r="L91" s="30">
        <f t="shared" si="5"/>
        <v>238.62972811806432</v>
      </c>
      <c r="M91" s="23"/>
    </row>
    <row r="92" spans="1:13" s="13" customFormat="1" ht="15.75">
      <c r="A92" s="12">
        <v>80</v>
      </c>
      <c r="B92" s="12" t="s">
        <v>177</v>
      </c>
      <c r="C92" s="12" t="s">
        <v>7</v>
      </c>
      <c r="D92" s="14">
        <v>100</v>
      </c>
      <c r="E92" s="14" t="s">
        <v>2</v>
      </c>
      <c r="F92" s="14">
        <v>112</v>
      </c>
      <c r="G92" s="14">
        <f t="shared" si="6"/>
        <v>112</v>
      </c>
      <c r="H92" s="14" t="s">
        <v>3</v>
      </c>
      <c r="I92" s="48">
        <f>74*50/90</f>
        <v>41.111111111111114</v>
      </c>
      <c r="J92" s="48">
        <v>5</v>
      </c>
      <c r="K92" s="48">
        <f t="shared" si="7"/>
        <v>46.111111111111114</v>
      </c>
      <c r="L92" s="30">
        <f t="shared" ref="L92:L106" si="8">($H$108/$G$108*G92)/100*K92</f>
        <v>170.74368477413225</v>
      </c>
      <c r="M92" s="23"/>
    </row>
    <row r="93" spans="1:13" s="13" customFormat="1" ht="15.75">
      <c r="A93" s="12">
        <v>81</v>
      </c>
      <c r="B93" s="12" t="s">
        <v>178</v>
      </c>
      <c r="C93" s="12" t="s">
        <v>7</v>
      </c>
      <c r="D93" s="14">
        <v>100</v>
      </c>
      <c r="E93" s="14" t="s">
        <v>12</v>
      </c>
      <c r="F93" s="14">
        <v>113</v>
      </c>
      <c r="G93" s="14">
        <f t="shared" si="6"/>
        <v>113</v>
      </c>
      <c r="H93" s="14" t="s">
        <v>4</v>
      </c>
      <c r="I93" s="48">
        <f>90*50/90</f>
        <v>50</v>
      </c>
      <c r="J93" s="48">
        <v>50</v>
      </c>
      <c r="K93" s="48">
        <f t="shared" si="7"/>
        <v>100</v>
      </c>
      <c r="L93" s="30">
        <f t="shared" si="8"/>
        <v>373.59364762326265</v>
      </c>
      <c r="M93" s="23"/>
    </row>
    <row r="94" spans="1:13" s="13" customFormat="1" ht="15.75">
      <c r="A94" s="12">
        <v>82</v>
      </c>
      <c r="B94" s="12" t="s">
        <v>52</v>
      </c>
      <c r="C94" s="12" t="s">
        <v>7</v>
      </c>
      <c r="D94" s="14">
        <v>100</v>
      </c>
      <c r="E94" s="14" t="s">
        <v>2</v>
      </c>
      <c r="F94" s="14">
        <v>112</v>
      </c>
      <c r="G94" s="14">
        <f t="shared" si="6"/>
        <v>112</v>
      </c>
      <c r="H94" s="14" t="s">
        <v>125</v>
      </c>
      <c r="I94" s="48">
        <f>92*50/100</f>
        <v>46</v>
      </c>
      <c r="J94" s="48">
        <v>50</v>
      </c>
      <c r="K94" s="48">
        <f t="shared" si="7"/>
        <v>96</v>
      </c>
      <c r="L94" s="30">
        <f t="shared" si="8"/>
        <v>355.47600878277171</v>
      </c>
      <c r="M94" s="23"/>
    </row>
    <row r="95" spans="1:13" s="13" customFormat="1" ht="15.75">
      <c r="A95" s="12">
        <v>83</v>
      </c>
      <c r="B95" s="12" t="s">
        <v>66</v>
      </c>
      <c r="C95" s="12" t="s">
        <v>8</v>
      </c>
      <c r="D95" s="14">
        <v>66.67</v>
      </c>
      <c r="E95" s="14" t="s">
        <v>13</v>
      </c>
      <c r="F95" s="14">
        <v>115</v>
      </c>
      <c r="G95" s="14">
        <f t="shared" si="6"/>
        <v>76.670500000000004</v>
      </c>
      <c r="H95" s="14" t="s">
        <v>3</v>
      </c>
      <c r="I95" s="48">
        <f>79.5*50/90</f>
        <v>44.166666666666664</v>
      </c>
      <c r="J95" s="48">
        <v>0</v>
      </c>
      <c r="K95" s="48">
        <f t="shared" si="7"/>
        <v>44.166666666666664</v>
      </c>
      <c r="L95" s="30">
        <f t="shared" si="8"/>
        <v>111.95511971130281</v>
      </c>
      <c r="M95" s="23"/>
    </row>
    <row r="96" spans="1:13" s="13" customFormat="1" ht="15.75">
      <c r="A96" s="12">
        <v>84</v>
      </c>
      <c r="B96" s="12" t="s">
        <v>179</v>
      </c>
      <c r="C96" s="12" t="s">
        <v>7</v>
      </c>
      <c r="D96" s="14">
        <v>100</v>
      </c>
      <c r="E96" s="14" t="s">
        <v>2</v>
      </c>
      <c r="F96" s="14">
        <v>112</v>
      </c>
      <c r="G96" s="14">
        <f t="shared" si="6"/>
        <v>112</v>
      </c>
      <c r="H96" s="14" t="s">
        <v>126</v>
      </c>
      <c r="I96" s="48">
        <f>90*50/90</f>
        <v>50</v>
      </c>
      <c r="J96" s="48">
        <v>40</v>
      </c>
      <c r="K96" s="48">
        <f t="shared" si="7"/>
        <v>90</v>
      </c>
      <c r="L96" s="30">
        <f t="shared" si="8"/>
        <v>333.25875823384848</v>
      </c>
      <c r="M96" s="23"/>
    </row>
    <row r="97" spans="1:20" s="13" customFormat="1" ht="15.75">
      <c r="A97" s="12">
        <v>85</v>
      </c>
      <c r="B97" s="12" t="s">
        <v>180</v>
      </c>
      <c r="C97" s="12" t="s">
        <v>7</v>
      </c>
      <c r="D97" s="14">
        <v>100</v>
      </c>
      <c r="E97" s="14" t="s">
        <v>2</v>
      </c>
      <c r="F97" s="14">
        <v>112</v>
      </c>
      <c r="G97" s="14">
        <f t="shared" si="6"/>
        <v>112</v>
      </c>
      <c r="H97" s="14" t="s">
        <v>3</v>
      </c>
      <c r="I97" s="48">
        <f>72*50/90</f>
        <v>40</v>
      </c>
      <c r="J97" s="48">
        <v>15</v>
      </c>
      <c r="K97" s="48">
        <f t="shared" si="7"/>
        <v>55</v>
      </c>
      <c r="L97" s="30">
        <f t="shared" si="8"/>
        <v>203.65813003179628</v>
      </c>
      <c r="M97" s="23"/>
    </row>
    <row r="98" spans="1:20" s="13" customFormat="1" ht="15.75">
      <c r="A98" s="12">
        <v>86</v>
      </c>
      <c r="B98" s="12" t="s">
        <v>233</v>
      </c>
      <c r="C98" s="12" t="s">
        <v>7</v>
      </c>
      <c r="D98" s="14">
        <v>53.92</v>
      </c>
      <c r="E98" s="14" t="s">
        <v>2</v>
      </c>
      <c r="F98" s="14">
        <v>112</v>
      </c>
      <c r="G98" s="14">
        <f t="shared" si="6"/>
        <v>60.3904</v>
      </c>
      <c r="H98" s="14" t="s">
        <v>27</v>
      </c>
      <c r="I98" s="48">
        <f>90*50/90</f>
        <v>50</v>
      </c>
      <c r="J98" s="48">
        <v>50</v>
      </c>
      <c r="K98" s="48">
        <f t="shared" si="7"/>
        <v>100</v>
      </c>
      <c r="L98" s="30">
        <f t="shared" si="8"/>
        <v>199.65902493299012</v>
      </c>
      <c r="M98" s="23"/>
    </row>
    <row r="99" spans="1:20" s="13" customFormat="1" ht="15.75">
      <c r="A99" s="12">
        <v>87</v>
      </c>
      <c r="B99" s="12" t="s">
        <v>181</v>
      </c>
      <c r="C99" s="12" t="s">
        <v>7</v>
      </c>
      <c r="D99" s="14">
        <v>100</v>
      </c>
      <c r="E99" s="14" t="s">
        <v>2</v>
      </c>
      <c r="F99" s="14">
        <v>112</v>
      </c>
      <c r="G99" s="14">
        <f t="shared" si="6"/>
        <v>112</v>
      </c>
      <c r="H99" s="14" t="s">
        <v>27</v>
      </c>
      <c r="I99" s="48">
        <f>85*50/90</f>
        <v>47.222222222222221</v>
      </c>
      <c r="J99" s="48">
        <v>40</v>
      </c>
      <c r="K99" s="48">
        <f t="shared" si="7"/>
        <v>87.222222222222229</v>
      </c>
      <c r="L99" s="30">
        <f t="shared" si="8"/>
        <v>322.97299409082848</v>
      </c>
      <c r="M99" s="23"/>
    </row>
    <row r="100" spans="1:20" s="13" customFormat="1" ht="15.75">
      <c r="A100" s="12">
        <v>88</v>
      </c>
      <c r="B100" s="12" t="s">
        <v>68</v>
      </c>
      <c r="C100" s="12" t="s">
        <v>7</v>
      </c>
      <c r="D100" s="14">
        <v>100</v>
      </c>
      <c r="E100" s="14" t="s">
        <v>2</v>
      </c>
      <c r="F100" s="14">
        <v>112</v>
      </c>
      <c r="G100" s="14">
        <f t="shared" si="6"/>
        <v>112</v>
      </c>
      <c r="H100" s="14" t="s">
        <v>125</v>
      </c>
      <c r="I100" s="48">
        <f>89*50/100</f>
        <v>44.5</v>
      </c>
      <c r="J100" s="48">
        <v>15</v>
      </c>
      <c r="K100" s="48">
        <f t="shared" si="7"/>
        <v>59.5</v>
      </c>
      <c r="L100" s="30">
        <f t="shared" si="8"/>
        <v>220.32106794348871</v>
      </c>
      <c r="M100" s="23"/>
    </row>
    <row r="101" spans="1:20" s="13" customFormat="1" ht="15.75">
      <c r="A101" s="12">
        <v>89</v>
      </c>
      <c r="B101" s="12" t="s">
        <v>51</v>
      </c>
      <c r="C101" s="12" t="s">
        <v>8</v>
      </c>
      <c r="D101" s="14">
        <v>66.67</v>
      </c>
      <c r="E101" s="14" t="s">
        <v>13</v>
      </c>
      <c r="F101" s="14">
        <v>115</v>
      </c>
      <c r="G101" s="14">
        <f t="shared" si="6"/>
        <v>76.670500000000004</v>
      </c>
      <c r="H101" s="14" t="s">
        <v>3</v>
      </c>
      <c r="I101" s="48">
        <f>76*50/90</f>
        <v>42.222222222222221</v>
      </c>
      <c r="J101" s="48">
        <v>25</v>
      </c>
      <c r="K101" s="48">
        <f t="shared" si="7"/>
        <v>67.222222222222229</v>
      </c>
      <c r="L101" s="30">
        <f t="shared" si="8"/>
        <v>170.39710044110242</v>
      </c>
      <c r="M101" s="23"/>
    </row>
    <row r="102" spans="1:20" s="13" customFormat="1" ht="15.75">
      <c r="A102" s="12">
        <v>90</v>
      </c>
      <c r="B102" s="12" t="s">
        <v>182</v>
      </c>
      <c r="C102" s="12" t="s">
        <v>7</v>
      </c>
      <c r="D102" s="14">
        <v>100</v>
      </c>
      <c r="E102" s="14" t="s">
        <v>2</v>
      </c>
      <c r="F102" s="14">
        <v>112</v>
      </c>
      <c r="G102" s="14">
        <f t="shared" si="6"/>
        <v>112</v>
      </c>
      <c r="H102" s="14" t="s">
        <v>126</v>
      </c>
      <c r="I102" s="48">
        <f>72*50/90</f>
        <v>40</v>
      </c>
      <c r="J102" s="48">
        <v>25</v>
      </c>
      <c r="K102" s="48">
        <f t="shared" si="7"/>
        <v>65</v>
      </c>
      <c r="L102" s="30">
        <f t="shared" si="8"/>
        <v>240.68688094666834</v>
      </c>
      <c r="M102" s="23"/>
    </row>
    <row r="103" spans="1:20" s="13" customFormat="1" ht="15.75">
      <c r="A103" s="12">
        <v>91</v>
      </c>
      <c r="B103" s="12" t="s">
        <v>234</v>
      </c>
      <c r="C103" s="12" t="s">
        <v>7</v>
      </c>
      <c r="D103" s="14">
        <v>44.33</v>
      </c>
      <c r="E103" s="14" t="s">
        <v>2</v>
      </c>
      <c r="F103" s="14">
        <v>112</v>
      </c>
      <c r="G103" s="14">
        <f t="shared" si="6"/>
        <v>49.6496</v>
      </c>
      <c r="H103" s="14" t="s">
        <v>27</v>
      </c>
      <c r="I103" s="48">
        <f>85*50/90</f>
        <v>47.222222222222221</v>
      </c>
      <c r="J103" s="48">
        <v>50</v>
      </c>
      <c r="K103" s="48">
        <f t="shared" si="7"/>
        <v>97.222222222222229</v>
      </c>
      <c r="L103" s="30">
        <f t="shared" si="8"/>
        <v>159.58877356102707</v>
      </c>
      <c r="M103" s="23"/>
    </row>
    <row r="104" spans="1:20" s="13" customFormat="1" ht="15.75">
      <c r="A104" s="12">
        <v>92</v>
      </c>
      <c r="B104" s="12" t="s">
        <v>183</v>
      </c>
      <c r="C104" s="12" t="s">
        <v>7</v>
      </c>
      <c r="D104" s="14">
        <v>100</v>
      </c>
      <c r="E104" s="14" t="s">
        <v>2</v>
      </c>
      <c r="F104" s="14">
        <v>112</v>
      </c>
      <c r="G104" s="14">
        <f t="shared" si="6"/>
        <v>112</v>
      </c>
      <c r="H104" s="14" t="s">
        <v>117</v>
      </c>
      <c r="I104" s="48">
        <f>92*50/100</f>
        <v>46</v>
      </c>
      <c r="J104" s="48">
        <v>40</v>
      </c>
      <c r="K104" s="48">
        <f t="shared" si="7"/>
        <v>86</v>
      </c>
      <c r="L104" s="30">
        <f t="shared" si="8"/>
        <v>318.44725786789962</v>
      </c>
      <c r="M104" s="23"/>
    </row>
    <row r="105" spans="1:20" s="13" customFormat="1" ht="15.75">
      <c r="A105" s="12">
        <v>93</v>
      </c>
      <c r="B105" s="12" t="s">
        <v>81</v>
      </c>
      <c r="C105" s="12" t="s">
        <v>7</v>
      </c>
      <c r="D105" s="14">
        <v>100</v>
      </c>
      <c r="E105" s="14" t="s">
        <v>2</v>
      </c>
      <c r="F105" s="14">
        <v>112</v>
      </c>
      <c r="G105" s="14">
        <f t="shared" si="6"/>
        <v>112</v>
      </c>
      <c r="H105" s="14" t="s">
        <v>120</v>
      </c>
      <c r="I105" s="48">
        <f>90*50/100</f>
        <v>45</v>
      </c>
      <c r="J105" s="48">
        <v>50</v>
      </c>
      <c r="K105" s="48">
        <f t="shared" si="7"/>
        <v>95</v>
      </c>
      <c r="L105" s="30">
        <f t="shared" si="8"/>
        <v>351.7731336912845</v>
      </c>
      <c r="M105" s="23"/>
    </row>
    <row r="106" spans="1:20" s="13" customFormat="1" ht="15.75">
      <c r="A106" s="12">
        <v>94</v>
      </c>
      <c r="B106" s="12" t="s">
        <v>184</v>
      </c>
      <c r="C106" s="12" t="s">
        <v>7</v>
      </c>
      <c r="D106" s="14">
        <v>100</v>
      </c>
      <c r="E106" s="14" t="s">
        <v>2</v>
      </c>
      <c r="F106" s="14">
        <v>112</v>
      </c>
      <c r="G106" s="14">
        <f t="shared" si="6"/>
        <v>112</v>
      </c>
      <c r="H106" s="14" t="s">
        <v>29</v>
      </c>
      <c r="I106" s="48">
        <f>77*50/90</f>
        <v>42.777777777777779</v>
      </c>
      <c r="J106" s="48">
        <v>40</v>
      </c>
      <c r="K106" s="48">
        <f t="shared" si="7"/>
        <v>82.777777777777771</v>
      </c>
      <c r="L106" s="30">
        <f t="shared" si="8"/>
        <v>306.51577146199639</v>
      </c>
      <c r="M106" s="23"/>
    </row>
    <row r="107" spans="1:20" s="1" customFormat="1" ht="15.75">
      <c r="A107" s="12"/>
      <c r="B107" s="12"/>
      <c r="C107" s="12"/>
      <c r="D107" s="14"/>
      <c r="E107" s="14"/>
      <c r="F107" s="14"/>
      <c r="G107" s="14"/>
      <c r="H107" s="14"/>
      <c r="I107" s="48"/>
      <c r="J107" s="48"/>
      <c r="K107" s="48"/>
      <c r="L107" s="30"/>
      <c r="M107" s="23"/>
    </row>
    <row r="108" spans="1:20" s="25" customFormat="1" ht="15.75">
      <c r="A108" s="16"/>
      <c r="B108" s="16"/>
      <c r="C108" s="16"/>
      <c r="D108" s="37">
        <f>SUM(D13:D107)</f>
        <v>8436.136666666669</v>
      </c>
      <c r="E108" s="24"/>
      <c r="F108" s="37">
        <f>SUM(F13:F107)</f>
        <v>10577.333333333332</v>
      </c>
      <c r="G108" s="37">
        <f>SUM(G13:G107)</f>
        <v>9492.459366666666</v>
      </c>
      <c r="H108" s="38">
        <f>G281/G279*G108</f>
        <v>31383.38513016465</v>
      </c>
      <c r="I108" s="59"/>
      <c r="J108" s="59"/>
      <c r="K108" s="59"/>
      <c r="L108" s="33"/>
      <c r="M108" s="16"/>
      <c r="N108" s="24"/>
      <c r="O108" s="24"/>
      <c r="P108" s="24"/>
      <c r="Q108" s="24"/>
      <c r="R108" s="24"/>
      <c r="S108" s="24"/>
      <c r="T108" s="24"/>
    </row>
    <row r="109" spans="1:20" s="25" customFormat="1" ht="15.75">
      <c r="A109" s="16"/>
      <c r="B109" s="16"/>
      <c r="C109" s="16"/>
      <c r="D109" s="24"/>
      <c r="E109" s="24"/>
      <c r="F109" s="24"/>
      <c r="G109" s="24"/>
      <c r="H109" s="24"/>
      <c r="I109" s="60">
        <f>SUM(I13:I108)</f>
        <v>4232.8333333333321</v>
      </c>
      <c r="J109" s="59"/>
      <c r="K109" s="60">
        <f>SUM(K13:K108)</f>
        <v>7387.8333333333312</v>
      </c>
      <c r="L109" s="33"/>
      <c r="M109" s="16"/>
      <c r="N109" s="24"/>
      <c r="O109" s="24"/>
      <c r="P109" s="24"/>
      <c r="Q109" s="24"/>
      <c r="R109" s="24"/>
      <c r="S109" s="24"/>
      <c r="T109" s="24"/>
    </row>
    <row r="110" spans="1:20" s="25" customFormat="1" ht="15.75">
      <c r="A110" s="16"/>
      <c r="B110" s="16"/>
      <c r="C110" s="16"/>
      <c r="D110" s="24"/>
      <c r="E110" s="24"/>
      <c r="F110" s="24"/>
      <c r="G110" s="24"/>
      <c r="H110" s="24"/>
      <c r="I110" s="59">
        <f>50*94</f>
        <v>4700</v>
      </c>
      <c r="J110" s="59"/>
      <c r="K110" s="59"/>
      <c r="L110" s="33"/>
      <c r="M110" s="16"/>
      <c r="N110" s="24"/>
      <c r="O110" s="24"/>
      <c r="P110" s="24"/>
      <c r="Q110" s="24"/>
      <c r="R110" s="24"/>
      <c r="S110" s="24"/>
      <c r="T110" s="24"/>
    </row>
    <row r="111" spans="1:20" s="25" customFormat="1" ht="15.75">
      <c r="A111" s="16"/>
      <c r="B111" s="16"/>
      <c r="C111" s="16"/>
      <c r="D111" s="24"/>
      <c r="E111" s="24"/>
      <c r="F111" s="24"/>
      <c r="G111" s="24"/>
      <c r="H111" s="24"/>
      <c r="I111" s="59"/>
      <c r="J111" s="59"/>
      <c r="K111" s="59"/>
      <c r="L111" s="38">
        <f>SUM(L13:L110)</f>
        <v>24710.466618402999</v>
      </c>
      <c r="M111" s="24"/>
      <c r="N111" s="24"/>
      <c r="O111" s="24"/>
      <c r="P111" s="24"/>
      <c r="Q111" s="24"/>
      <c r="R111" s="24"/>
      <c r="S111" s="24"/>
      <c r="T111" s="24"/>
    </row>
    <row r="112" spans="1:20" s="25" customFormat="1" ht="15.75">
      <c r="A112" s="16"/>
      <c r="B112" s="16"/>
      <c r="C112" s="16"/>
      <c r="D112" s="24"/>
      <c r="E112" s="24"/>
      <c r="F112" s="24"/>
      <c r="G112" s="24"/>
      <c r="H112" s="24"/>
      <c r="I112" s="59"/>
      <c r="J112" s="59"/>
      <c r="K112" s="59"/>
      <c r="L112" s="33">
        <f>H108-L111</f>
        <v>6672.9185117616507</v>
      </c>
      <c r="M112" s="16"/>
      <c r="N112" s="24"/>
      <c r="O112" s="24"/>
      <c r="P112" s="24"/>
      <c r="Q112" s="24"/>
      <c r="R112" s="24"/>
      <c r="S112" s="24"/>
      <c r="T112" s="24"/>
    </row>
    <row r="113" spans="1:13" s="25" customFormat="1" ht="15.75">
      <c r="A113" s="16"/>
      <c r="B113" s="16"/>
      <c r="C113" s="16"/>
      <c r="D113" s="24"/>
      <c r="E113" s="14"/>
      <c r="F113" s="14"/>
      <c r="G113" s="14"/>
      <c r="H113" s="14"/>
      <c r="I113" s="48"/>
      <c r="J113" s="48"/>
      <c r="K113" s="48"/>
      <c r="L113" s="30"/>
      <c r="M113" s="28"/>
    </row>
    <row r="114" spans="1:13" s="1" customFormat="1" ht="15.75">
      <c r="A114" s="12"/>
      <c r="B114" s="12"/>
      <c r="C114" s="12"/>
      <c r="D114" s="14"/>
      <c r="E114" s="14"/>
      <c r="F114" s="14"/>
      <c r="G114" s="17" t="s">
        <v>36</v>
      </c>
      <c r="H114" s="17" t="s">
        <v>38</v>
      </c>
      <c r="I114" s="61" t="s">
        <v>40</v>
      </c>
      <c r="J114" s="61" t="s">
        <v>40</v>
      </c>
      <c r="K114" s="61" t="s">
        <v>141</v>
      </c>
      <c r="L114" s="31" t="s">
        <v>42</v>
      </c>
      <c r="M114" s="23"/>
    </row>
    <row r="115" spans="1:13" s="21" customFormat="1" ht="15.75">
      <c r="A115" s="18"/>
      <c r="B115" s="18"/>
      <c r="C115" s="19" t="s">
        <v>9</v>
      </c>
      <c r="D115" s="20" t="s">
        <v>10</v>
      </c>
      <c r="E115" s="20" t="s">
        <v>11</v>
      </c>
      <c r="F115" s="20" t="s">
        <v>35</v>
      </c>
      <c r="G115" s="20" t="s">
        <v>37</v>
      </c>
      <c r="H115" s="20" t="s">
        <v>39</v>
      </c>
      <c r="I115" s="62" t="s">
        <v>114</v>
      </c>
      <c r="J115" s="62" t="s">
        <v>115</v>
      </c>
      <c r="K115" s="62" t="s">
        <v>116</v>
      </c>
      <c r="L115" s="32" t="s">
        <v>43</v>
      </c>
      <c r="M115" s="27"/>
    </row>
    <row r="116" spans="1:13" s="1" customFormat="1" ht="15.75">
      <c r="A116" s="12"/>
      <c r="B116" s="12"/>
      <c r="C116" s="12"/>
      <c r="D116" s="14"/>
      <c r="E116" s="14"/>
      <c r="F116" s="14"/>
      <c r="G116" s="14"/>
      <c r="H116" s="14"/>
      <c r="I116" s="48"/>
      <c r="J116" s="48"/>
      <c r="K116" s="48"/>
      <c r="L116" s="30"/>
      <c r="M116" s="22"/>
    </row>
    <row r="117" spans="1:13" s="13" customFormat="1" ht="15.75">
      <c r="A117" s="12">
        <v>1</v>
      </c>
      <c r="B117" s="12" t="s">
        <v>137</v>
      </c>
      <c r="C117" s="12" t="s">
        <v>7</v>
      </c>
      <c r="D117" s="14">
        <v>100</v>
      </c>
      <c r="E117" s="14" t="s">
        <v>1</v>
      </c>
      <c r="F117" s="14">
        <v>119</v>
      </c>
      <c r="G117" s="14">
        <f t="shared" ref="G117:G138" si="9">F117*D117/100</f>
        <v>119</v>
      </c>
      <c r="H117" s="14" t="s">
        <v>120</v>
      </c>
      <c r="I117" s="48">
        <f>89*50/100</f>
        <v>44.5</v>
      </c>
      <c r="J117" s="48">
        <v>25</v>
      </c>
      <c r="K117" s="48">
        <f>SUM(I117:J117)</f>
        <v>69.5</v>
      </c>
      <c r="L117" s="30">
        <f t="shared" ref="L117:L126" si="10">($H$108/$G$108*G117)/100*K117</f>
        <v>273.43418253700833</v>
      </c>
      <c r="M117" s="22"/>
    </row>
    <row r="118" spans="1:13" s="13" customFormat="1" ht="15.75">
      <c r="A118" s="12">
        <v>2</v>
      </c>
      <c r="B118" s="12" t="s">
        <v>231</v>
      </c>
      <c r="C118" s="12" t="s">
        <v>7</v>
      </c>
      <c r="D118" s="14">
        <v>8.33</v>
      </c>
      <c r="E118" s="14" t="s">
        <v>1</v>
      </c>
      <c r="F118" s="14">
        <v>119</v>
      </c>
      <c r="G118" s="14">
        <f t="shared" si="9"/>
        <v>9.9126999999999992</v>
      </c>
      <c r="H118" s="14" t="s">
        <v>120</v>
      </c>
      <c r="I118" s="48">
        <f>80*50/100</f>
        <v>40</v>
      </c>
      <c r="J118" s="48">
        <v>50</v>
      </c>
      <c r="K118" s="48">
        <f>SUM(I118:J118)</f>
        <v>90</v>
      </c>
      <c r="L118" s="30">
        <f t="shared" si="10"/>
        <v>29.495482970934553</v>
      </c>
      <c r="M118" s="22"/>
    </row>
    <row r="119" spans="1:13" s="13" customFormat="1" ht="15.75">
      <c r="A119" s="12">
        <v>3</v>
      </c>
      <c r="B119" s="12" t="s">
        <v>86</v>
      </c>
      <c r="C119" s="12" t="s">
        <v>7</v>
      </c>
      <c r="D119" s="14">
        <v>100</v>
      </c>
      <c r="E119" s="14" t="s">
        <v>16</v>
      </c>
      <c r="F119" s="14">
        <v>125</v>
      </c>
      <c r="G119" s="14">
        <f t="shared" si="9"/>
        <v>125</v>
      </c>
      <c r="H119" s="14" t="s">
        <v>123</v>
      </c>
      <c r="I119" s="48">
        <f>57*50/60</f>
        <v>47.5</v>
      </c>
      <c r="J119" s="48">
        <v>50</v>
      </c>
      <c r="K119" s="48">
        <f t="shared" ref="K119:K138" si="11">SUM(I119:J119)</f>
        <v>97.5</v>
      </c>
      <c r="L119" s="30">
        <f t="shared" si="10"/>
        <v>402.93562658482415</v>
      </c>
      <c r="M119" s="23"/>
    </row>
    <row r="120" spans="1:13" s="13" customFormat="1" ht="15.75">
      <c r="A120" s="12">
        <v>4</v>
      </c>
      <c r="B120" s="12" t="s">
        <v>89</v>
      </c>
      <c r="C120" s="12" t="s">
        <v>7</v>
      </c>
      <c r="D120" s="14">
        <v>100</v>
      </c>
      <c r="E120" s="14" t="s">
        <v>15</v>
      </c>
      <c r="F120" s="14">
        <v>129</v>
      </c>
      <c r="G120" s="14">
        <f t="shared" si="9"/>
        <v>129</v>
      </c>
      <c r="H120" s="14" t="s">
        <v>120</v>
      </c>
      <c r="I120" s="48">
        <f>90*50/100</f>
        <v>45</v>
      </c>
      <c r="J120" s="48">
        <v>40</v>
      </c>
      <c r="K120" s="48">
        <f t="shared" si="11"/>
        <v>85</v>
      </c>
      <c r="L120" s="30">
        <f t="shared" si="10"/>
        <v>362.51808373354646</v>
      </c>
      <c r="M120" s="23"/>
    </row>
    <row r="121" spans="1:13" s="13" customFormat="1" ht="15.75">
      <c r="A121" s="12">
        <v>5</v>
      </c>
      <c r="B121" s="12" t="s">
        <v>167</v>
      </c>
      <c r="C121" s="12" t="s">
        <v>7</v>
      </c>
      <c r="D121" s="14">
        <v>100</v>
      </c>
      <c r="E121" s="14" t="s">
        <v>1</v>
      </c>
      <c r="F121" s="14">
        <v>119</v>
      </c>
      <c r="G121" s="14">
        <f t="shared" si="9"/>
        <v>119</v>
      </c>
      <c r="H121" s="14" t="s">
        <v>123</v>
      </c>
      <c r="I121" s="48">
        <f>93*50/100</f>
        <v>46.5</v>
      </c>
      <c r="J121" s="48">
        <v>50</v>
      </c>
      <c r="K121" s="48">
        <f t="shared" si="11"/>
        <v>96.5</v>
      </c>
      <c r="L121" s="30">
        <f t="shared" si="10"/>
        <v>379.66041172404749</v>
      </c>
      <c r="M121" s="23"/>
    </row>
    <row r="122" spans="1:13" s="13" customFormat="1" ht="15.75">
      <c r="A122" s="12">
        <v>6</v>
      </c>
      <c r="B122" s="12" t="s">
        <v>168</v>
      </c>
      <c r="C122" s="12" t="s">
        <v>7</v>
      </c>
      <c r="D122" s="14">
        <v>100</v>
      </c>
      <c r="E122" s="14" t="s">
        <v>1</v>
      </c>
      <c r="F122" s="14">
        <v>119</v>
      </c>
      <c r="G122" s="14">
        <f t="shared" si="9"/>
        <v>119</v>
      </c>
      <c r="H122" s="14" t="s">
        <v>123</v>
      </c>
      <c r="I122" s="48">
        <f>93*50/100</f>
        <v>46.5</v>
      </c>
      <c r="J122" s="48">
        <v>50</v>
      </c>
      <c r="K122" s="48">
        <f t="shared" si="11"/>
        <v>96.5</v>
      </c>
      <c r="L122" s="30">
        <f t="shared" si="10"/>
        <v>379.66041172404749</v>
      </c>
      <c r="M122" s="23"/>
    </row>
    <row r="123" spans="1:13" s="13" customFormat="1" ht="15.75">
      <c r="A123" s="12">
        <v>7</v>
      </c>
      <c r="B123" s="12" t="s">
        <v>169</v>
      </c>
      <c r="C123" s="12" t="s">
        <v>7</v>
      </c>
      <c r="D123" s="14">
        <v>40</v>
      </c>
      <c r="E123" s="14" t="s">
        <v>1</v>
      </c>
      <c r="F123" s="14">
        <v>119</v>
      </c>
      <c r="G123" s="14">
        <f t="shared" si="9"/>
        <v>47.6</v>
      </c>
      <c r="H123" s="14" t="s">
        <v>120</v>
      </c>
      <c r="I123" s="48">
        <f>90*50/100</f>
        <v>45</v>
      </c>
      <c r="J123" s="48">
        <v>25</v>
      </c>
      <c r="K123" s="48">
        <f t="shared" si="11"/>
        <v>70</v>
      </c>
      <c r="L123" s="30">
        <f t="shared" si="10"/>
        <v>110.16053397174437</v>
      </c>
      <c r="M123" s="23"/>
    </row>
    <row r="124" spans="1:13" s="13" customFormat="1" ht="15.75">
      <c r="A124" s="12">
        <v>8</v>
      </c>
      <c r="B124" s="12" t="s">
        <v>90</v>
      </c>
      <c r="C124" s="12" t="s">
        <v>8</v>
      </c>
      <c r="D124" s="14">
        <v>66.67</v>
      </c>
      <c r="E124" s="14" t="s">
        <v>15</v>
      </c>
      <c r="F124" s="14">
        <v>129</v>
      </c>
      <c r="G124" s="14">
        <f t="shared" si="9"/>
        <v>86.004300000000001</v>
      </c>
      <c r="H124" s="14" t="s">
        <v>123</v>
      </c>
      <c r="I124" s="48">
        <f>93*50/100</f>
        <v>46.5</v>
      </c>
      <c r="J124" s="48">
        <v>50</v>
      </c>
      <c r="K124" s="48">
        <f t="shared" si="11"/>
        <v>96.5</v>
      </c>
      <c r="L124" s="30">
        <f t="shared" si="10"/>
        <v>274.39015082385299</v>
      </c>
      <c r="M124" s="23"/>
    </row>
    <row r="125" spans="1:13" s="13" customFormat="1" ht="15.75">
      <c r="A125" s="12">
        <v>9</v>
      </c>
      <c r="B125" s="12" t="s">
        <v>229</v>
      </c>
      <c r="C125" s="12" t="s">
        <v>7</v>
      </c>
      <c r="D125" s="14">
        <v>50</v>
      </c>
      <c r="E125" s="14" t="s">
        <v>1</v>
      </c>
      <c r="F125" s="14">
        <v>119</v>
      </c>
      <c r="G125" s="14">
        <f t="shared" si="9"/>
        <v>59.5</v>
      </c>
      <c r="H125" s="14" t="s">
        <v>129</v>
      </c>
      <c r="I125" s="48">
        <f>90*50/100</f>
        <v>45</v>
      </c>
      <c r="J125" s="48">
        <v>25</v>
      </c>
      <c r="K125" s="48">
        <f t="shared" si="11"/>
        <v>70</v>
      </c>
      <c r="L125" s="30">
        <f t="shared" si="10"/>
        <v>137.70066746468044</v>
      </c>
      <c r="M125" s="23"/>
    </row>
    <row r="126" spans="1:13" s="13" customFormat="1" ht="15.75">
      <c r="A126" s="12">
        <v>10</v>
      </c>
      <c r="B126" s="12" t="s">
        <v>85</v>
      </c>
      <c r="C126" s="12" t="s">
        <v>7</v>
      </c>
      <c r="D126" s="14">
        <v>100</v>
      </c>
      <c r="E126" s="14" t="s">
        <v>15</v>
      </c>
      <c r="F126" s="14">
        <v>129</v>
      </c>
      <c r="G126" s="14">
        <f t="shared" si="9"/>
        <v>129</v>
      </c>
      <c r="H126" s="14" t="s">
        <v>129</v>
      </c>
      <c r="I126" s="48">
        <f>99*50/100</f>
        <v>49.5</v>
      </c>
      <c r="J126" s="48">
        <v>50</v>
      </c>
      <c r="K126" s="48">
        <f t="shared" si="11"/>
        <v>99.5</v>
      </c>
      <c r="L126" s="30">
        <f t="shared" si="10"/>
        <v>424.35940389985728</v>
      </c>
      <c r="M126" s="23"/>
    </row>
    <row r="127" spans="1:13" s="13" customFormat="1" ht="15.75">
      <c r="A127" s="12">
        <v>11</v>
      </c>
      <c r="B127" s="12" t="s">
        <v>87</v>
      </c>
      <c r="C127" s="12" t="s">
        <v>7</v>
      </c>
      <c r="D127" s="14">
        <v>100</v>
      </c>
      <c r="E127" s="14" t="s">
        <v>17</v>
      </c>
      <c r="F127" s="14">
        <v>134</v>
      </c>
      <c r="G127" s="14">
        <f t="shared" si="9"/>
        <v>134</v>
      </c>
      <c r="H127" s="14" t="s">
        <v>123</v>
      </c>
      <c r="I127" s="48">
        <f>100*50/100</f>
        <v>50</v>
      </c>
      <c r="J127" s="48">
        <v>15</v>
      </c>
      <c r="K127" s="48">
        <f t="shared" si="11"/>
        <v>65</v>
      </c>
      <c r="L127" s="30">
        <f t="shared" ref="L127:L138" si="12">($H$108/$G$108*G127)/100*K127</f>
        <v>287.96466113262102</v>
      </c>
      <c r="M127" s="23"/>
    </row>
    <row r="128" spans="1:13" s="13" customFormat="1" ht="15.75">
      <c r="A128" s="12">
        <v>12</v>
      </c>
      <c r="B128" s="12" t="s">
        <v>253</v>
      </c>
      <c r="C128" s="12" t="s">
        <v>7</v>
      </c>
      <c r="D128" s="14">
        <v>78.58</v>
      </c>
      <c r="E128" s="14" t="s">
        <v>1</v>
      </c>
      <c r="F128" s="14">
        <v>119</v>
      </c>
      <c r="G128" s="14">
        <f t="shared" si="9"/>
        <v>93.510199999999998</v>
      </c>
      <c r="H128" s="14" t="s">
        <v>120</v>
      </c>
      <c r="I128" s="48">
        <f>90*50/100</f>
        <v>45</v>
      </c>
      <c r="J128" s="48">
        <v>50</v>
      </c>
      <c r="K128" s="48">
        <f t="shared" si="11"/>
        <v>95</v>
      </c>
      <c r="L128" s="30">
        <f t="shared" si="12"/>
        <v>293.69978648302452</v>
      </c>
      <c r="M128" s="23"/>
    </row>
    <row r="129" spans="1:13" s="13" customFormat="1" ht="15.75">
      <c r="A129" s="12">
        <v>13</v>
      </c>
      <c r="B129" s="12" t="s">
        <v>91</v>
      </c>
      <c r="C129" s="12" t="s">
        <v>7</v>
      </c>
      <c r="D129" s="14">
        <v>100</v>
      </c>
      <c r="E129" s="14" t="s">
        <v>15</v>
      </c>
      <c r="F129" s="14">
        <v>129</v>
      </c>
      <c r="G129" s="14">
        <f t="shared" si="9"/>
        <v>129</v>
      </c>
      <c r="H129" s="14" t="s">
        <v>120</v>
      </c>
      <c r="I129" s="48">
        <f>97*50/100</f>
        <v>48.5</v>
      </c>
      <c r="J129" s="48">
        <v>50</v>
      </c>
      <c r="K129" s="48">
        <f t="shared" si="11"/>
        <v>98.5</v>
      </c>
      <c r="L129" s="30">
        <f t="shared" si="12"/>
        <v>420.09448526769796</v>
      </c>
      <c r="M129" s="23"/>
    </row>
    <row r="130" spans="1:13" s="13" customFormat="1" ht="15.75">
      <c r="A130" s="12">
        <v>14</v>
      </c>
      <c r="B130" s="12" t="s">
        <v>185</v>
      </c>
      <c r="C130" s="12" t="s">
        <v>7</v>
      </c>
      <c r="D130" s="14">
        <v>100</v>
      </c>
      <c r="E130" s="14" t="s">
        <v>1</v>
      </c>
      <c r="F130" s="14">
        <v>119</v>
      </c>
      <c r="G130" s="14">
        <f t="shared" si="9"/>
        <v>119</v>
      </c>
      <c r="H130" s="14" t="s">
        <v>120</v>
      </c>
      <c r="I130" s="48">
        <f>93*50/100</f>
        <v>46.5</v>
      </c>
      <c r="J130" s="48">
        <v>25</v>
      </c>
      <c r="K130" s="48">
        <f t="shared" si="11"/>
        <v>71.5</v>
      </c>
      <c r="L130" s="30">
        <f t="shared" si="12"/>
        <v>281.30279210641862</v>
      </c>
      <c r="M130" s="23"/>
    </row>
    <row r="131" spans="1:13" s="13" customFormat="1" ht="15.75">
      <c r="A131" s="12">
        <v>15</v>
      </c>
      <c r="B131" s="12" t="s">
        <v>254</v>
      </c>
      <c r="C131" s="12" t="s">
        <v>7</v>
      </c>
      <c r="D131" s="14">
        <v>53.92</v>
      </c>
      <c r="E131" s="14" t="s">
        <v>1</v>
      </c>
      <c r="F131" s="14">
        <v>119</v>
      </c>
      <c r="G131" s="14">
        <f t="shared" si="9"/>
        <v>64.1648</v>
      </c>
      <c r="H131" s="14" t="s">
        <v>120</v>
      </c>
      <c r="I131" s="48">
        <f>85*50/100</f>
        <v>42.5</v>
      </c>
      <c r="J131" s="48">
        <v>50</v>
      </c>
      <c r="K131" s="48">
        <f t="shared" si="11"/>
        <v>92.5</v>
      </c>
      <c r="L131" s="30">
        <f>($H$108/$G$108*G131)/100*K131</f>
        <v>196.22738544195431</v>
      </c>
      <c r="M131" s="23"/>
    </row>
    <row r="132" spans="1:13" s="13" customFormat="1" ht="15.75">
      <c r="A132" s="12">
        <v>16</v>
      </c>
      <c r="B132" s="12" t="s">
        <v>94</v>
      </c>
      <c r="C132" s="12" t="s">
        <v>7</v>
      </c>
      <c r="D132" s="14">
        <v>95.83</v>
      </c>
      <c r="E132" s="14" t="s">
        <v>2</v>
      </c>
      <c r="F132" s="14">
        <v>112</v>
      </c>
      <c r="G132" s="14">
        <f t="shared" si="9"/>
        <v>107.32959999999999</v>
      </c>
      <c r="H132" s="14" t="s">
        <v>129</v>
      </c>
      <c r="I132" s="48">
        <f>87*50/100</f>
        <v>43.5</v>
      </c>
      <c r="J132" s="48">
        <v>50</v>
      </c>
      <c r="K132" s="48">
        <f t="shared" si="11"/>
        <v>93.5</v>
      </c>
      <c r="L132" s="30">
        <f>($H$108/$G$108*G132)/100*K132</f>
        <v>331.78149621609964</v>
      </c>
      <c r="M132" s="23"/>
    </row>
    <row r="133" spans="1:13" s="13" customFormat="1" ht="15.75">
      <c r="A133" s="12">
        <v>17</v>
      </c>
      <c r="B133" s="12" t="s">
        <v>230</v>
      </c>
      <c r="C133" s="12" t="s">
        <v>7</v>
      </c>
      <c r="D133" s="14">
        <v>91.67</v>
      </c>
      <c r="E133" s="14" t="s">
        <v>1</v>
      </c>
      <c r="F133" s="14">
        <v>119</v>
      </c>
      <c r="G133" s="14">
        <f t="shared" si="9"/>
        <v>109.0873</v>
      </c>
      <c r="H133" s="14" t="s">
        <v>123</v>
      </c>
      <c r="I133" s="48">
        <f>76*50/100</f>
        <v>38</v>
      </c>
      <c r="J133" s="48">
        <v>50</v>
      </c>
      <c r="K133" s="48">
        <f t="shared" si="11"/>
        <v>88</v>
      </c>
      <c r="L133" s="30">
        <f>($H$108/$G$108*G133)/100*K133</f>
        <v>317.37879326025109</v>
      </c>
      <c r="M133" s="23"/>
    </row>
    <row r="134" spans="1:13" s="13" customFormat="1" ht="15.75">
      <c r="A134" s="12">
        <v>18</v>
      </c>
      <c r="B134" s="12" t="s">
        <v>232</v>
      </c>
      <c r="C134" s="12" t="s">
        <v>7</v>
      </c>
      <c r="D134" s="14">
        <v>100</v>
      </c>
      <c r="E134" s="14" t="s">
        <v>1</v>
      </c>
      <c r="F134" s="14">
        <v>119</v>
      </c>
      <c r="G134" s="14">
        <f t="shared" si="9"/>
        <v>119</v>
      </c>
      <c r="H134" s="14" t="s">
        <v>120</v>
      </c>
      <c r="I134" s="48">
        <f>85*50/100</f>
        <v>42.5</v>
      </c>
      <c r="J134" s="48">
        <v>50</v>
      </c>
      <c r="K134" s="48">
        <f t="shared" si="11"/>
        <v>92.5</v>
      </c>
      <c r="L134" s="30">
        <f>($H$108/$G$108*G134)/100*K134</f>
        <v>363.9231925852269</v>
      </c>
      <c r="M134" s="23"/>
    </row>
    <row r="135" spans="1:13" s="13" customFormat="1" ht="15.75">
      <c r="A135" s="12">
        <v>19</v>
      </c>
      <c r="B135" s="12" t="s">
        <v>92</v>
      </c>
      <c r="C135" s="12" t="s">
        <v>7</v>
      </c>
      <c r="D135" s="14">
        <v>97.83</v>
      </c>
      <c r="E135" s="14" t="s">
        <v>15</v>
      </c>
      <c r="F135" s="14">
        <v>129</v>
      </c>
      <c r="G135" s="14">
        <f t="shared" si="9"/>
        <v>126.2007</v>
      </c>
      <c r="H135" s="14" t="s">
        <v>132</v>
      </c>
      <c r="I135" s="48">
        <f>79*50/90</f>
        <v>43.888888888888886</v>
      </c>
      <c r="J135" s="48">
        <v>25</v>
      </c>
      <c r="K135" s="48">
        <f t="shared" si="11"/>
        <v>68.888888888888886</v>
      </c>
      <c r="L135" s="30">
        <f t="shared" si="12"/>
        <v>287.4299262957486</v>
      </c>
      <c r="M135" s="23"/>
    </row>
    <row r="136" spans="1:13" s="13" customFormat="1" ht="15.75">
      <c r="A136" s="12">
        <v>20</v>
      </c>
      <c r="B136" s="12" t="s">
        <v>88</v>
      </c>
      <c r="C136" s="12" t="s">
        <v>7</v>
      </c>
      <c r="D136" s="14">
        <v>100</v>
      </c>
      <c r="E136" s="14" t="s">
        <v>1</v>
      </c>
      <c r="F136" s="14">
        <v>119</v>
      </c>
      <c r="G136" s="14">
        <f t="shared" si="9"/>
        <v>119</v>
      </c>
      <c r="H136" s="14" t="s">
        <v>129</v>
      </c>
      <c r="I136" s="48">
        <f>97*50/100</f>
        <v>48.5</v>
      </c>
      <c r="J136" s="48">
        <v>50</v>
      </c>
      <c r="K136" s="48">
        <f t="shared" si="11"/>
        <v>98.5</v>
      </c>
      <c r="L136" s="30">
        <f t="shared" si="12"/>
        <v>387.52902129345784</v>
      </c>
      <c r="M136" s="23"/>
    </row>
    <row r="137" spans="1:13" s="13" customFormat="1" ht="15.75">
      <c r="A137" s="12">
        <v>21</v>
      </c>
      <c r="B137" s="12" t="s">
        <v>93</v>
      </c>
      <c r="C137" s="12" t="s">
        <v>8</v>
      </c>
      <c r="D137" s="14">
        <v>66.67</v>
      </c>
      <c r="E137" s="14" t="s">
        <v>1</v>
      </c>
      <c r="F137" s="14">
        <v>119</v>
      </c>
      <c r="G137" s="14">
        <f t="shared" si="9"/>
        <v>79.337299999999999</v>
      </c>
      <c r="H137" s="14" t="s">
        <v>129</v>
      </c>
      <c r="I137" s="48">
        <f>74*50/100</f>
        <v>37</v>
      </c>
      <c r="J137" s="48">
        <v>5</v>
      </c>
      <c r="K137" s="48">
        <f t="shared" si="11"/>
        <v>42</v>
      </c>
      <c r="L137" s="30">
        <f t="shared" si="12"/>
        <v>110.16604199844295</v>
      </c>
      <c r="M137" s="23"/>
    </row>
    <row r="138" spans="1:13" s="13" customFormat="1" ht="15.75">
      <c r="A138" s="12">
        <v>22</v>
      </c>
      <c r="B138" s="12" t="s">
        <v>201</v>
      </c>
      <c r="C138" s="12" t="s">
        <v>7</v>
      </c>
      <c r="D138" s="14">
        <v>91.67</v>
      </c>
      <c r="E138" s="14" t="s">
        <v>1</v>
      </c>
      <c r="F138" s="14">
        <v>119</v>
      </c>
      <c r="G138" s="14">
        <f t="shared" si="9"/>
        <v>109.0873</v>
      </c>
      <c r="H138" s="14" t="s">
        <v>129</v>
      </c>
      <c r="I138" s="48">
        <f>79*50/100</f>
        <v>39.5</v>
      </c>
      <c r="J138" s="48">
        <v>5</v>
      </c>
      <c r="K138" s="48">
        <f t="shared" si="11"/>
        <v>44.5</v>
      </c>
      <c r="L138" s="30">
        <f t="shared" si="12"/>
        <v>160.49268522819514</v>
      </c>
      <c r="M138" s="23"/>
    </row>
    <row r="139" spans="1:13" s="1" customFormat="1" ht="15.75">
      <c r="A139" s="12"/>
      <c r="B139" s="12"/>
      <c r="C139" s="12"/>
      <c r="D139" s="14"/>
      <c r="E139" s="14"/>
      <c r="F139" s="14"/>
      <c r="G139" s="14"/>
      <c r="H139" s="14"/>
      <c r="I139" s="48"/>
      <c r="J139" s="48"/>
      <c r="K139" s="48"/>
      <c r="L139" s="30"/>
      <c r="M139" s="22"/>
    </row>
    <row r="140" spans="1:13" s="25" customFormat="1" ht="15.75">
      <c r="A140" s="16"/>
      <c r="B140" s="16"/>
      <c r="C140" s="16"/>
      <c r="D140" s="37">
        <f>SUM(D117:D139)</f>
        <v>1841.17</v>
      </c>
      <c r="E140" s="24"/>
      <c r="F140" s="37">
        <f>SUM(F117:F139)</f>
        <v>2682</v>
      </c>
      <c r="G140" s="37">
        <f>SUM(G117:G139)</f>
        <v>2251.7342000000003</v>
      </c>
      <c r="H140" s="38">
        <f>G281/G279*G140</f>
        <v>7444.5450730623843</v>
      </c>
      <c r="I140" s="59"/>
      <c r="J140" s="59"/>
      <c r="K140" s="59"/>
      <c r="L140" s="33"/>
      <c r="M140" s="26"/>
    </row>
    <row r="141" spans="1:13" s="25" customFormat="1" ht="15.75">
      <c r="A141" s="16"/>
      <c r="B141" s="16"/>
      <c r="C141" s="16"/>
      <c r="D141" s="24"/>
      <c r="E141" s="24"/>
      <c r="F141" s="24"/>
      <c r="G141" s="24"/>
      <c r="H141" s="24"/>
      <c r="I141" s="60">
        <f>SUM(I117:I140)</f>
        <v>981.38888888888891</v>
      </c>
      <c r="J141" s="59"/>
      <c r="K141" s="60">
        <f>SUM(K117:K140)</f>
        <v>1821.3888888888889</v>
      </c>
      <c r="L141" s="33"/>
      <c r="M141" s="26"/>
    </row>
    <row r="142" spans="1:13" s="25" customFormat="1" ht="15.75">
      <c r="A142" s="16"/>
      <c r="B142" s="16"/>
      <c r="C142" s="16"/>
      <c r="D142" s="24"/>
      <c r="E142" s="24"/>
      <c r="F142" s="24"/>
      <c r="G142" s="24"/>
      <c r="H142" s="24"/>
      <c r="I142" s="59">
        <f>50*22</f>
        <v>1100</v>
      </c>
      <c r="J142" s="59"/>
      <c r="K142" s="59"/>
      <c r="L142" s="33"/>
      <c r="M142" s="26"/>
    </row>
    <row r="143" spans="1:13" s="25" customFormat="1" ht="15.75">
      <c r="A143" s="16"/>
      <c r="B143" s="16"/>
      <c r="C143" s="16"/>
      <c r="D143" s="24"/>
      <c r="E143" s="24"/>
      <c r="F143" s="24"/>
      <c r="G143" s="24"/>
      <c r="H143" s="24"/>
      <c r="I143" s="59"/>
      <c r="J143" s="59"/>
      <c r="K143" s="59"/>
      <c r="L143" s="38">
        <f>SUM(L117:L142)</f>
        <v>6212.305222743682</v>
      </c>
      <c r="M143" s="26"/>
    </row>
    <row r="144" spans="1:13" s="25" customFormat="1" ht="15.75">
      <c r="A144" s="16"/>
      <c r="B144" s="16"/>
      <c r="C144" s="16"/>
      <c r="D144" s="24"/>
      <c r="E144" s="24"/>
      <c r="F144" s="24"/>
      <c r="G144" s="24"/>
      <c r="H144" s="24"/>
      <c r="I144" s="59"/>
      <c r="J144" s="59"/>
      <c r="K144" s="59"/>
      <c r="L144" s="33">
        <f>H140-L143</f>
        <v>1232.2398503187023</v>
      </c>
      <c r="M144" s="26"/>
    </row>
    <row r="145" spans="1:13" s="25" customFormat="1" ht="15.75">
      <c r="A145" s="16"/>
      <c r="B145" s="16"/>
      <c r="C145" s="16"/>
      <c r="D145" s="24"/>
      <c r="E145" s="14"/>
      <c r="F145" s="14"/>
      <c r="G145" s="14"/>
      <c r="H145" s="14"/>
      <c r="I145" s="48"/>
      <c r="J145" s="48"/>
      <c r="K145" s="48"/>
      <c r="L145" s="30"/>
      <c r="M145" s="26"/>
    </row>
    <row r="146" spans="1:13" s="1" customFormat="1" ht="15.75">
      <c r="A146" s="12"/>
      <c r="B146" s="12"/>
      <c r="C146" s="12"/>
      <c r="D146" s="14"/>
      <c r="E146" s="14"/>
      <c r="F146" s="14"/>
      <c r="G146" s="17" t="s">
        <v>36</v>
      </c>
      <c r="H146" s="17" t="s">
        <v>38</v>
      </c>
      <c r="I146" s="61" t="s">
        <v>40</v>
      </c>
      <c r="J146" s="61" t="s">
        <v>40</v>
      </c>
      <c r="K146" s="61" t="s">
        <v>40</v>
      </c>
      <c r="L146" s="31" t="s">
        <v>42</v>
      </c>
      <c r="M146" s="22"/>
    </row>
    <row r="147" spans="1:13" s="21" customFormat="1" ht="15.75">
      <c r="A147" s="18"/>
      <c r="B147" s="18"/>
      <c r="C147" s="19" t="s">
        <v>9</v>
      </c>
      <c r="D147" s="20" t="s">
        <v>10</v>
      </c>
      <c r="E147" s="20" t="s">
        <v>11</v>
      </c>
      <c r="F147" s="20" t="s">
        <v>35</v>
      </c>
      <c r="G147" s="20" t="s">
        <v>37</v>
      </c>
      <c r="H147" s="20" t="s">
        <v>39</v>
      </c>
      <c r="I147" s="62" t="s">
        <v>114</v>
      </c>
      <c r="J147" s="62" t="s">
        <v>115</v>
      </c>
      <c r="K147" s="62" t="s">
        <v>116</v>
      </c>
      <c r="L147" s="32" t="s">
        <v>43</v>
      </c>
      <c r="M147" s="27"/>
    </row>
    <row r="148" spans="1:13" s="1" customFormat="1" ht="15.75">
      <c r="A148" s="12"/>
      <c r="B148" s="12"/>
      <c r="C148" s="12"/>
      <c r="D148" s="14"/>
      <c r="E148" s="14"/>
      <c r="F148" s="14"/>
      <c r="G148" s="14"/>
      <c r="H148" s="14"/>
      <c r="I148" s="48"/>
      <c r="J148" s="48"/>
      <c r="K148" s="48"/>
      <c r="L148" s="30"/>
      <c r="M148" s="22"/>
    </row>
    <row r="149" spans="1:13" s="13" customFormat="1" ht="15.75">
      <c r="A149" s="12">
        <v>1</v>
      </c>
      <c r="B149" s="12" t="s">
        <v>97</v>
      </c>
      <c r="C149" s="12" t="s">
        <v>7</v>
      </c>
      <c r="D149" s="14">
        <v>100</v>
      </c>
      <c r="E149" s="14" t="s">
        <v>18</v>
      </c>
      <c r="F149" s="14">
        <v>117</v>
      </c>
      <c r="G149" s="14">
        <f>F149*D149/100</f>
        <v>117</v>
      </c>
      <c r="H149" s="14" t="s">
        <v>4</v>
      </c>
      <c r="I149" s="48">
        <f>87*50/90</f>
        <v>48.333333333333336</v>
      </c>
      <c r="J149" s="48">
        <v>25</v>
      </c>
      <c r="K149" s="48">
        <f t="shared" ref="K149:K151" si="13">SUM(I149:J149)</f>
        <v>73.333333333333343</v>
      </c>
      <c r="L149" s="30">
        <f>($H$153/$G$153*G149)/100*K149</f>
        <v>283.6666811157163</v>
      </c>
      <c r="M149" s="22"/>
    </row>
    <row r="150" spans="1:13" s="13" customFormat="1" ht="15.75">
      <c r="A150" s="12">
        <v>2</v>
      </c>
      <c r="B150" s="12" t="s">
        <v>95</v>
      </c>
      <c r="C150" s="12" t="s">
        <v>7</v>
      </c>
      <c r="D150" s="14">
        <v>100</v>
      </c>
      <c r="E150" s="14" t="s">
        <v>13</v>
      </c>
      <c r="F150" s="14">
        <v>115</v>
      </c>
      <c r="G150" s="14">
        <f>F150*D150/100</f>
        <v>115</v>
      </c>
      <c r="H150" s="14" t="s">
        <v>29</v>
      </c>
      <c r="I150" s="48">
        <f>90*50/90</f>
        <v>50</v>
      </c>
      <c r="J150" s="48">
        <v>40</v>
      </c>
      <c r="K150" s="48">
        <f t="shared" si="13"/>
        <v>90</v>
      </c>
      <c r="L150" s="30">
        <f>($H$153/$G$153*G150)/100*K150</f>
        <v>342.18533211511226</v>
      </c>
      <c r="M150" s="22"/>
    </row>
    <row r="151" spans="1:13" s="13" customFormat="1" ht="15.75">
      <c r="A151" s="12">
        <v>3</v>
      </c>
      <c r="B151" s="12" t="s">
        <v>96</v>
      </c>
      <c r="C151" s="12" t="s">
        <v>7</v>
      </c>
      <c r="D151" s="14">
        <v>100</v>
      </c>
      <c r="E151" s="14" t="s">
        <v>13</v>
      </c>
      <c r="F151" s="14">
        <v>115</v>
      </c>
      <c r="G151" s="14">
        <f>F151*D151/100</f>
        <v>115</v>
      </c>
      <c r="H151" s="14" t="s">
        <v>27</v>
      </c>
      <c r="I151" s="48">
        <f>86*50/90</f>
        <v>47.777777777777779</v>
      </c>
      <c r="J151" s="48">
        <v>25</v>
      </c>
      <c r="K151" s="48">
        <f t="shared" si="13"/>
        <v>72.777777777777771</v>
      </c>
      <c r="L151" s="30">
        <f t="shared" ref="L151" si="14">($H$153/$G$153*G151)/100*K151</f>
        <v>276.70542288320809</v>
      </c>
      <c r="M151" s="22"/>
    </row>
    <row r="152" spans="1:13" s="1" customFormat="1" ht="15.75">
      <c r="A152" s="12"/>
      <c r="B152" s="12"/>
      <c r="C152" s="12"/>
      <c r="D152" s="14"/>
      <c r="E152" s="14"/>
      <c r="F152" s="14"/>
      <c r="G152" s="14"/>
      <c r="H152" s="14"/>
      <c r="I152" s="48"/>
      <c r="J152" s="48"/>
      <c r="K152" s="48"/>
      <c r="L152" s="30"/>
      <c r="M152" s="22"/>
    </row>
    <row r="153" spans="1:13" s="25" customFormat="1" ht="15.75">
      <c r="A153" s="16"/>
      <c r="B153" s="16"/>
      <c r="C153" s="16"/>
      <c r="D153" s="37">
        <f>SUM(D149:D152)</f>
        <v>300</v>
      </c>
      <c r="E153" s="24"/>
      <c r="F153" s="37">
        <f>SUM(F149:F152)</f>
        <v>347</v>
      </c>
      <c r="G153" s="37">
        <f>SUM(G149:G152)</f>
        <v>347</v>
      </c>
      <c r="H153" s="38">
        <f>G281/G279*G153</f>
        <v>1147.2300506661252</v>
      </c>
      <c r="I153" s="59"/>
      <c r="J153" s="59"/>
      <c r="K153" s="59"/>
      <c r="L153" s="33"/>
      <c r="M153" s="26"/>
    </row>
    <row r="154" spans="1:13" s="25" customFormat="1" ht="15.75">
      <c r="A154" s="16"/>
      <c r="B154" s="16"/>
      <c r="C154" s="16"/>
      <c r="D154" s="24"/>
      <c r="E154" s="24"/>
      <c r="F154" s="24"/>
      <c r="G154" s="24"/>
      <c r="H154" s="24"/>
      <c r="I154" s="60">
        <f>SUM(I149:I153)</f>
        <v>146.11111111111111</v>
      </c>
      <c r="J154" s="59"/>
      <c r="K154" s="60">
        <f>SUM(K149:K153)</f>
        <v>236.11111111111111</v>
      </c>
      <c r="L154" s="33"/>
      <c r="M154" s="26"/>
    </row>
    <row r="155" spans="1:13" s="25" customFormat="1" ht="15.75">
      <c r="A155" s="16"/>
      <c r="B155" s="16"/>
      <c r="C155" s="16"/>
      <c r="D155" s="24"/>
      <c r="E155" s="24"/>
      <c r="F155" s="24"/>
      <c r="G155" s="24"/>
      <c r="H155" s="24"/>
      <c r="I155" s="59">
        <f>50*3</f>
        <v>150</v>
      </c>
      <c r="J155" s="59"/>
      <c r="K155" s="59"/>
      <c r="L155" s="33"/>
      <c r="M155" s="26"/>
    </row>
    <row r="156" spans="1:13" s="25" customFormat="1" ht="15.75">
      <c r="A156" s="16"/>
      <c r="B156" s="16"/>
      <c r="C156" s="16"/>
      <c r="D156" s="24"/>
      <c r="E156" s="24"/>
      <c r="F156" s="24"/>
      <c r="G156" s="24"/>
      <c r="H156" s="24"/>
      <c r="I156" s="59"/>
      <c r="J156" s="59"/>
      <c r="K156" s="59"/>
      <c r="L156" s="38">
        <f>SUM(L149:L155)</f>
        <v>902.55743611403659</v>
      </c>
      <c r="M156" s="26"/>
    </row>
    <row r="157" spans="1:13" s="25" customFormat="1" ht="15.75">
      <c r="A157" s="16"/>
      <c r="B157" s="16"/>
      <c r="C157" s="16"/>
      <c r="D157" s="24"/>
      <c r="E157" s="24"/>
      <c r="F157" s="24"/>
      <c r="G157" s="24"/>
      <c r="H157" s="24"/>
      <c r="I157" s="59"/>
      <c r="J157" s="59"/>
      <c r="K157" s="59"/>
      <c r="L157" s="33">
        <f>H153-L156</f>
        <v>244.67261455208859</v>
      </c>
      <c r="M157" s="26"/>
    </row>
    <row r="158" spans="1:13" s="25" customFormat="1" ht="15.75">
      <c r="A158" s="16"/>
      <c r="B158" s="16"/>
      <c r="C158" s="16"/>
      <c r="D158" s="24"/>
      <c r="E158" s="14"/>
      <c r="F158" s="14"/>
      <c r="G158" s="14"/>
      <c r="H158" s="14"/>
      <c r="I158" s="48"/>
      <c r="J158" s="48"/>
      <c r="K158" s="48"/>
      <c r="L158" s="30"/>
      <c r="M158" s="26"/>
    </row>
    <row r="159" spans="1:13" s="1" customFormat="1" ht="15.75">
      <c r="A159" s="12"/>
      <c r="B159" s="12"/>
      <c r="C159" s="12"/>
      <c r="D159" s="14"/>
      <c r="E159" s="14"/>
      <c r="F159" s="14"/>
      <c r="G159" s="17" t="s">
        <v>36</v>
      </c>
      <c r="H159" s="17" t="s">
        <v>38</v>
      </c>
      <c r="I159" s="61" t="s">
        <v>40</v>
      </c>
      <c r="J159" s="61" t="s">
        <v>40</v>
      </c>
      <c r="K159" s="61" t="s">
        <v>141</v>
      </c>
      <c r="L159" s="31" t="s">
        <v>42</v>
      </c>
      <c r="M159" s="22"/>
    </row>
    <row r="160" spans="1:13" s="21" customFormat="1" ht="15.75">
      <c r="A160" s="18"/>
      <c r="B160" s="18"/>
      <c r="C160" s="19" t="s">
        <v>9</v>
      </c>
      <c r="D160" s="20" t="s">
        <v>10</v>
      </c>
      <c r="E160" s="20" t="s">
        <v>11</v>
      </c>
      <c r="F160" s="20" t="s">
        <v>35</v>
      </c>
      <c r="G160" s="20" t="s">
        <v>37</v>
      </c>
      <c r="H160" s="20" t="s">
        <v>39</v>
      </c>
      <c r="I160" s="62" t="s">
        <v>114</v>
      </c>
      <c r="J160" s="62" t="s">
        <v>115</v>
      </c>
      <c r="K160" s="62" t="s">
        <v>116</v>
      </c>
      <c r="L160" s="32" t="s">
        <v>43</v>
      </c>
      <c r="M160" s="27"/>
    </row>
    <row r="161" spans="1:13" s="1" customFormat="1" ht="15.75">
      <c r="A161" s="12"/>
      <c r="B161" s="12"/>
      <c r="C161" s="12"/>
      <c r="D161" s="14"/>
      <c r="E161" s="14"/>
      <c r="F161" s="14"/>
      <c r="G161" s="14"/>
      <c r="H161" s="14"/>
      <c r="I161" s="48"/>
      <c r="J161" s="48"/>
      <c r="K161" s="48"/>
      <c r="L161" s="30"/>
      <c r="M161" s="22"/>
    </row>
    <row r="162" spans="1:13" s="13" customFormat="1" ht="15.75">
      <c r="A162" s="12">
        <v>1</v>
      </c>
      <c r="B162" s="12" t="s">
        <v>98</v>
      </c>
      <c r="C162" s="12" t="s">
        <v>7</v>
      </c>
      <c r="D162" s="14">
        <v>100</v>
      </c>
      <c r="E162" s="12" t="s">
        <v>221</v>
      </c>
      <c r="F162" s="14">
        <f>(115*5+119*7)/12</f>
        <v>117.33333333333333</v>
      </c>
      <c r="G162" s="14">
        <f t="shared" ref="G162:G167" si="15">F162*D162/100</f>
        <v>117.33333333333331</v>
      </c>
      <c r="H162" s="14" t="s">
        <v>130</v>
      </c>
      <c r="I162" s="48">
        <f>56*50/60</f>
        <v>46.666666666666664</v>
      </c>
      <c r="J162" s="48">
        <v>50</v>
      </c>
      <c r="K162" s="48">
        <f>SUM(I162:J162)</f>
        <v>96.666666666666657</v>
      </c>
      <c r="L162" s="30">
        <f t="shared" ref="L162:L167" si="16">($H$169/$G$169*G162)/100*K162</f>
        <v>374.98957275695818</v>
      </c>
      <c r="M162" s="23"/>
    </row>
    <row r="163" spans="1:13" s="13" customFormat="1" ht="15.75">
      <c r="A163" s="42">
        <v>2</v>
      </c>
      <c r="B163" s="42" t="s">
        <v>82</v>
      </c>
      <c r="C163" s="42" t="s">
        <v>7</v>
      </c>
      <c r="D163" s="44">
        <v>100</v>
      </c>
      <c r="E163" s="44" t="s">
        <v>0</v>
      </c>
      <c r="F163" s="44">
        <v>130</v>
      </c>
      <c r="G163" s="44">
        <f t="shared" si="15"/>
        <v>130</v>
      </c>
      <c r="H163" s="44" t="s">
        <v>127</v>
      </c>
      <c r="I163" s="48">
        <f>56*50/60</f>
        <v>46.666666666666664</v>
      </c>
      <c r="J163" s="48">
        <v>50</v>
      </c>
      <c r="K163" s="48">
        <f t="shared" ref="K163:K165" si="17">SUM(I163:J163)</f>
        <v>96.666666666666657</v>
      </c>
      <c r="L163" s="30">
        <f t="shared" si="16"/>
        <v>415.47140163412979</v>
      </c>
      <c r="M163" s="23"/>
    </row>
    <row r="164" spans="1:13" s="13" customFormat="1" ht="15.75">
      <c r="A164" s="12">
        <v>3</v>
      </c>
      <c r="B164" s="12" t="s">
        <v>202</v>
      </c>
      <c r="C164" s="12" t="s">
        <v>224</v>
      </c>
      <c r="D164" s="14">
        <v>77.08</v>
      </c>
      <c r="E164" s="12" t="s">
        <v>222</v>
      </c>
      <c r="F164" s="14">
        <f>(112*9+119*3)/12</f>
        <v>113.75</v>
      </c>
      <c r="G164" s="44">
        <f t="shared" si="15"/>
        <v>87.6785</v>
      </c>
      <c r="H164" s="14" t="s">
        <v>130</v>
      </c>
      <c r="I164" s="48">
        <f>80*50/90</f>
        <v>44.444444444444443</v>
      </c>
      <c r="J164" s="48">
        <v>50</v>
      </c>
      <c r="K164" s="48">
        <f t="shared" si="17"/>
        <v>94.444444444444443</v>
      </c>
      <c r="L164" s="30">
        <f t="shared" si="16"/>
        <v>273.772969893469</v>
      </c>
      <c r="M164" s="23"/>
    </row>
    <row r="165" spans="1:13" s="13" customFormat="1" ht="15.75">
      <c r="A165" s="12">
        <v>4</v>
      </c>
      <c r="B165" s="12" t="s">
        <v>100</v>
      </c>
      <c r="C165" s="12" t="s">
        <v>7</v>
      </c>
      <c r="D165" s="14">
        <v>100</v>
      </c>
      <c r="E165" s="12" t="s">
        <v>223</v>
      </c>
      <c r="F165" s="14">
        <f>(117*5+119*7)/12</f>
        <v>118.16666666666667</v>
      </c>
      <c r="G165" s="14">
        <f t="shared" si="15"/>
        <v>118.16666666666669</v>
      </c>
      <c r="H165" s="14" t="s">
        <v>130</v>
      </c>
      <c r="I165" s="48">
        <f>56*50/60</f>
        <v>46.666666666666664</v>
      </c>
      <c r="J165" s="48">
        <v>50</v>
      </c>
      <c r="K165" s="48">
        <f t="shared" si="17"/>
        <v>96.666666666666657</v>
      </c>
      <c r="L165" s="30">
        <f t="shared" si="16"/>
        <v>377.65285097256168</v>
      </c>
      <c r="M165" s="23"/>
    </row>
    <row r="166" spans="1:13" s="43" customFormat="1" ht="15.75">
      <c r="A166" s="42">
        <v>5</v>
      </c>
      <c r="B166" s="12" t="s">
        <v>203</v>
      </c>
      <c r="C166" s="12" t="s">
        <v>224</v>
      </c>
      <c r="D166" s="14">
        <v>77.08</v>
      </c>
      <c r="E166" s="12" t="s">
        <v>222</v>
      </c>
      <c r="F166" s="14">
        <f>(112*9+119*3)/12</f>
        <v>113.75</v>
      </c>
      <c r="G166" s="14">
        <f t="shared" si="15"/>
        <v>87.6785</v>
      </c>
      <c r="H166" s="14" t="s">
        <v>130</v>
      </c>
      <c r="I166" s="63">
        <f>83*50/90</f>
        <v>46.111111111111114</v>
      </c>
      <c r="J166" s="63">
        <v>50</v>
      </c>
      <c r="K166" s="63">
        <f>SUM(I166:J166)</f>
        <v>96.111111111111114</v>
      </c>
      <c r="L166" s="30">
        <f t="shared" si="16"/>
        <v>278.60425759747142</v>
      </c>
      <c r="M166" s="45"/>
    </row>
    <row r="167" spans="1:13" s="13" customFormat="1" ht="15" customHeight="1">
      <c r="A167" s="12">
        <v>6</v>
      </c>
      <c r="B167" s="12" t="s">
        <v>186</v>
      </c>
      <c r="C167" s="12" t="s">
        <v>195</v>
      </c>
      <c r="D167" s="14">
        <v>69.44</v>
      </c>
      <c r="E167" s="12" t="s">
        <v>2</v>
      </c>
      <c r="F167" s="14">
        <v>112</v>
      </c>
      <c r="G167" s="14">
        <f t="shared" si="15"/>
        <v>77.772800000000004</v>
      </c>
      <c r="H167" s="14" t="s">
        <v>122</v>
      </c>
      <c r="I167" s="48">
        <v>42</v>
      </c>
      <c r="J167" s="48">
        <v>50</v>
      </c>
      <c r="K167" s="48">
        <f>SUM(I167:J167)</f>
        <v>92</v>
      </c>
      <c r="L167" s="30">
        <f t="shared" si="16"/>
        <v>236.55743464464177</v>
      </c>
      <c r="M167" s="23"/>
    </row>
    <row r="168" spans="1:13" s="1" customFormat="1" ht="15.75">
      <c r="A168" s="12"/>
      <c r="B168" s="12"/>
      <c r="C168" s="12"/>
      <c r="D168" s="14"/>
      <c r="E168" s="14"/>
      <c r="F168" s="14"/>
      <c r="G168" s="14"/>
      <c r="H168" s="14"/>
      <c r="I168" s="48"/>
      <c r="J168" s="48"/>
      <c r="K168" s="48"/>
      <c r="L168" s="30"/>
      <c r="M168" s="22"/>
    </row>
    <row r="169" spans="1:13" s="25" customFormat="1" ht="15.75">
      <c r="A169" s="16"/>
      <c r="B169" s="16"/>
      <c r="C169" s="16"/>
      <c r="D169" s="37">
        <f>SUM(D162:D168)</f>
        <v>523.59999999999991</v>
      </c>
      <c r="E169" s="24"/>
      <c r="F169" s="37">
        <f>SUM(F162:F168)</f>
        <v>705</v>
      </c>
      <c r="G169" s="37">
        <f>SUM(G162:G168)</f>
        <v>618.62979999999993</v>
      </c>
      <c r="H169" s="38">
        <f>G281/G279*G169</f>
        <v>2045.2757832783136</v>
      </c>
      <c r="I169" s="59"/>
      <c r="J169" s="59"/>
      <c r="K169" s="59"/>
      <c r="L169" s="33"/>
      <c r="M169" s="26"/>
    </row>
    <row r="170" spans="1:13" s="25" customFormat="1" ht="15.75">
      <c r="A170" s="16"/>
      <c r="B170" s="16"/>
      <c r="C170" s="16"/>
      <c r="D170" s="24"/>
      <c r="E170" s="24"/>
      <c r="F170" s="24"/>
      <c r="G170" s="24"/>
      <c r="H170" s="24"/>
      <c r="I170" s="60">
        <f>SUM(I162:I169)</f>
        <v>272.55555555555554</v>
      </c>
      <c r="J170" s="59"/>
      <c r="K170" s="60">
        <f>SUM(K162:K169)</f>
        <v>572.55555555555554</v>
      </c>
      <c r="L170" s="33"/>
      <c r="M170" s="26"/>
    </row>
    <row r="171" spans="1:13" s="25" customFormat="1" ht="15.75">
      <c r="A171" s="16"/>
      <c r="B171" s="16"/>
      <c r="C171" s="16"/>
      <c r="D171" s="24"/>
      <c r="E171" s="24"/>
      <c r="F171" s="24"/>
      <c r="G171" s="24"/>
      <c r="H171" s="24"/>
      <c r="I171" s="59">
        <f>50*6</f>
        <v>300</v>
      </c>
      <c r="J171" s="59"/>
      <c r="K171" s="59"/>
      <c r="L171" s="33"/>
      <c r="M171" s="26"/>
    </row>
    <row r="172" spans="1:13" s="25" customFormat="1" ht="15.75">
      <c r="A172" s="16"/>
      <c r="B172" s="16"/>
      <c r="C172" s="16"/>
      <c r="D172" s="24"/>
      <c r="E172" s="24"/>
      <c r="F172" s="24"/>
      <c r="G172" s="24"/>
      <c r="H172" s="24"/>
      <c r="I172" s="59"/>
      <c r="J172" s="59"/>
      <c r="K172" s="59"/>
      <c r="L172" s="38">
        <f>SUM(L162:L171)</f>
        <v>1957.0484874992319</v>
      </c>
      <c r="M172" s="26"/>
    </row>
    <row r="173" spans="1:13" s="25" customFormat="1" ht="15.75">
      <c r="A173" s="16"/>
      <c r="B173" s="16"/>
      <c r="C173" s="16"/>
      <c r="D173" s="24"/>
      <c r="E173" s="24"/>
      <c r="F173" s="24"/>
      <c r="G173" s="24"/>
      <c r="H173" s="24"/>
      <c r="I173" s="59"/>
      <c r="J173" s="59"/>
      <c r="K173" s="59"/>
      <c r="L173" s="33">
        <f>H169-L172</f>
        <v>88.227295779081714</v>
      </c>
      <c r="M173" s="26"/>
    </row>
    <row r="174" spans="1:13" s="25" customFormat="1" ht="15.75">
      <c r="A174" s="16"/>
      <c r="B174" s="16"/>
      <c r="C174" s="16"/>
      <c r="D174" s="24"/>
      <c r="E174" s="14"/>
      <c r="F174" s="14"/>
      <c r="G174" s="14"/>
      <c r="H174" s="14"/>
      <c r="I174" s="48"/>
      <c r="J174" s="48"/>
      <c r="K174" s="48"/>
      <c r="L174" s="30"/>
      <c r="M174" s="26"/>
    </row>
    <row r="175" spans="1:13" s="1" customFormat="1" ht="15.75">
      <c r="A175" s="12"/>
      <c r="B175" s="12"/>
      <c r="C175" s="12"/>
      <c r="D175" s="14"/>
      <c r="E175" s="14"/>
      <c r="F175" s="14"/>
      <c r="G175" s="17" t="s">
        <v>36</v>
      </c>
      <c r="H175" s="17" t="s">
        <v>38</v>
      </c>
      <c r="I175" s="61" t="s">
        <v>40</v>
      </c>
      <c r="J175" s="61" t="s">
        <v>40</v>
      </c>
      <c r="K175" s="61" t="s">
        <v>40</v>
      </c>
      <c r="L175" s="31" t="s">
        <v>42</v>
      </c>
      <c r="M175" s="22"/>
    </row>
    <row r="176" spans="1:13" s="21" customFormat="1" ht="15.75">
      <c r="A176" s="18"/>
      <c r="B176" s="18"/>
      <c r="C176" s="19" t="s">
        <v>9</v>
      </c>
      <c r="D176" s="20" t="s">
        <v>10</v>
      </c>
      <c r="E176" s="20" t="s">
        <v>11</v>
      </c>
      <c r="F176" s="20" t="s">
        <v>35</v>
      </c>
      <c r="G176" s="20" t="s">
        <v>37</v>
      </c>
      <c r="H176" s="20" t="s">
        <v>39</v>
      </c>
      <c r="I176" s="62" t="s">
        <v>114</v>
      </c>
      <c r="J176" s="62" t="s">
        <v>115</v>
      </c>
      <c r="K176" s="62" t="s">
        <v>116</v>
      </c>
      <c r="L176" s="32" t="s">
        <v>43</v>
      </c>
      <c r="M176" s="27"/>
    </row>
    <row r="177" spans="1:13" s="1" customFormat="1" ht="15.75">
      <c r="A177" s="12"/>
      <c r="B177" s="12"/>
      <c r="C177" s="12"/>
      <c r="D177" s="14"/>
      <c r="E177" s="14"/>
      <c r="F177" s="14"/>
      <c r="G177" s="14"/>
      <c r="H177" s="14"/>
      <c r="I177" s="48"/>
      <c r="J177" s="48"/>
      <c r="K177" s="48"/>
      <c r="L177" s="30"/>
      <c r="M177" s="22"/>
    </row>
    <row r="178" spans="1:13" s="13" customFormat="1" ht="15.75">
      <c r="A178" s="12">
        <v>1</v>
      </c>
      <c r="B178" s="12" t="s">
        <v>245</v>
      </c>
      <c r="C178" s="12" t="s">
        <v>7</v>
      </c>
      <c r="D178" s="14">
        <v>62.5</v>
      </c>
      <c r="E178" s="12" t="s">
        <v>1</v>
      </c>
      <c r="F178" s="14">
        <v>119</v>
      </c>
      <c r="G178" s="14">
        <f t="shared" ref="G178:G183" si="18">F178*D178/100</f>
        <v>74.375</v>
      </c>
      <c r="H178" s="14" t="s">
        <v>121</v>
      </c>
      <c r="I178" s="48">
        <f>55*50/90</f>
        <v>30.555555555555557</v>
      </c>
      <c r="J178" s="48">
        <v>40</v>
      </c>
      <c r="K178" s="48">
        <f>SUM(I178:J178)</f>
        <v>70.555555555555557</v>
      </c>
      <c r="L178" s="30">
        <f t="shared" ref="L178:L184" si="19">($H$185/$G$185*G178)/100*K178</f>
        <v>173.4919123810954</v>
      </c>
      <c r="M178" s="23"/>
    </row>
    <row r="179" spans="1:13" s="13" customFormat="1" ht="15.75">
      <c r="A179" s="12">
        <v>2</v>
      </c>
      <c r="B179" s="12" t="s">
        <v>101</v>
      </c>
      <c r="C179" s="12" t="s">
        <v>7</v>
      </c>
      <c r="D179" s="14">
        <v>100</v>
      </c>
      <c r="E179" s="12" t="s">
        <v>17</v>
      </c>
      <c r="F179" s="14">
        <v>134</v>
      </c>
      <c r="G179" s="14">
        <f t="shared" si="18"/>
        <v>134</v>
      </c>
      <c r="H179" s="14" t="s">
        <v>121</v>
      </c>
      <c r="I179" s="48">
        <f>82*50/90</f>
        <v>45.555555555555557</v>
      </c>
      <c r="J179" s="48">
        <v>0</v>
      </c>
      <c r="K179" s="48">
        <f>SUM(I179:J179)</f>
        <v>45.555555555555557</v>
      </c>
      <c r="L179" s="30">
        <f t="shared" si="19"/>
        <v>201.82138643482841</v>
      </c>
      <c r="M179" s="23"/>
    </row>
    <row r="180" spans="1:13" s="13" customFormat="1" ht="15.75">
      <c r="A180" s="12">
        <v>3</v>
      </c>
      <c r="B180" s="12" t="s">
        <v>204</v>
      </c>
      <c r="C180" s="12" t="s">
        <v>195</v>
      </c>
      <c r="D180" s="14">
        <v>69.44</v>
      </c>
      <c r="E180" s="12" t="s">
        <v>1</v>
      </c>
      <c r="F180" s="14">
        <v>119</v>
      </c>
      <c r="G180" s="14">
        <f t="shared" si="18"/>
        <v>82.633600000000001</v>
      </c>
      <c r="H180" s="14" t="s">
        <v>125</v>
      </c>
      <c r="I180" s="48">
        <f>93*50/100</f>
        <v>46.5</v>
      </c>
      <c r="J180" s="48">
        <v>0</v>
      </c>
      <c r="K180" s="48">
        <f t="shared" ref="K180:K183" si="20">SUM(I180:J180)</f>
        <v>46.5</v>
      </c>
      <c r="L180" s="30">
        <f t="shared" si="19"/>
        <v>127.03712777621561</v>
      </c>
      <c r="M180" s="23"/>
    </row>
    <row r="181" spans="1:13" s="13" customFormat="1" ht="15.75">
      <c r="A181" s="12">
        <v>4</v>
      </c>
      <c r="B181" s="12" t="s">
        <v>246</v>
      </c>
      <c r="C181" s="12" t="s">
        <v>7</v>
      </c>
      <c r="D181" s="14">
        <v>58.33</v>
      </c>
      <c r="E181" s="12" t="s">
        <v>1</v>
      </c>
      <c r="F181" s="14">
        <v>119</v>
      </c>
      <c r="G181" s="14">
        <f t="shared" si="18"/>
        <v>69.412700000000001</v>
      </c>
      <c r="H181" s="14" t="s">
        <v>121</v>
      </c>
      <c r="I181" s="48">
        <f>79*50/90</f>
        <v>43.888888888888886</v>
      </c>
      <c r="J181" s="48">
        <v>40</v>
      </c>
      <c r="K181" s="48">
        <f t="shared" si="20"/>
        <v>83.888888888888886</v>
      </c>
      <c r="L181" s="30">
        <f t="shared" si="19"/>
        <v>192.51493173260894</v>
      </c>
      <c r="M181" s="23"/>
    </row>
    <row r="182" spans="1:13" s="13" customFormat="1" ht="15.75">
      <c r="A182" s="12">
        <v>5</v>
      </c>
      <c r="B182" s="12" t="s">
        <v>248</v>
      </c>
      <c r="C182" s="12" t="s">
        <v>247</v>
      </c>
      <c r="D182" s="14">
        <v>47.92</v>
      </c>
      <c r="E182" s="12" t="s">
        <v>1</v>
      </c>
      <c r="F182" s="14">
        <v>119</v>
      </c>
      <c r="G182" s="14">
        <f t="shared" si="18"/>
        <v>57.024800000000006</v>
      </c>
      <c r="H182" s="14" t="s">
        <v>121</v>
      </c>
      <c r="I182" s="48">
        <f>48*50/90</f>
        <v>26.666666666666668</v>
      </c>
      <c r="J182" s="48">
        <v>50</v>
      </c>
      <c r="K182" s="48">
        <f t="shared" si="20"/>
        <v>76.666666666666671</v>
      </c>
      <c r="L182" s="30">
        <f t="shared" si="19"/>
        <v>144.54111205035451</v>
      </c>
      <c r="M182" s="23"/>
    </row>
    <row r="183" spans="1:13" s="13" customFormat="1" ht="15.75">
      <c r="A183" s="12">
        <v>6</v>
      </c>
      <c r="B183" s="12" t="s">
        <v>102</v>
      </c>
      <c r="C183" s="12" t="s">
        <v>7</v>
      </c>
      <c r="D183" s="14">
        <v>100</v>
      </c>
      <c r="E183" s="12" t="s">
        <v>15</v>
      </c>
      <c r="F183" s="14">
        <v>129</v>
      </c>
      <c r="G183" s="14">
        <f t="shared" si="18"/>
        <v>129</v>
      </c>
      <c r="H183" s="14" t="s">
        <v>121</v>
      </c>
      <c r="I183" s="48">
        <v>0</v>
      </c>
      <c r="J183" s="48">
        <v>0</v>
      </c>
      <c r="K183" s="48">
        <f t="shared" si="20"/>
        <v>0</v>
      </c>
      <c r="L183" s="30">
        <f t="shared" si="19"/>
        <v>0</v>
      </c>
      <c r="M183" s="23"/>
    </row>
    <row r="184" spans="1:13" s="1" customFormat="1" ht="15.75">
      <c r="A184" s="12"/>
      <c r="B184" s="12"/>
      <c r="C184" s="12"/>
      <c r="D184" s="14"/>
      <c r="E184" s="14"/>
      <c r="F184" s="14"/>
      <c r="G184" s="14"/>
      <c r="H184" s="14"/>
      <c r="I184" s="48"/>
      <c r="J184" s="48"/>
      <c r="K184" s="48"/>
      <c r="L184" s="30">
        <f t="shared" si="19"/>
        <v>0</v>
      </c>
      <c r="M184" s="22"/>
    </row>
    <row r="185" spans="1:13" s="15" customFormat="1" ht="15.75">
      <c r="A185" s="16"/>
      <c r="B185" s="16"/>
      <c r="C185" s="16"/>
      <c r="D185" s="37">
        <f>SUM(D179:D184)</f>
        <v>375.69</v>
      </c>
      <c r="E185" s="24"/>
      <c r="F185" s="37">
        <f>SUM(F179:F184)</f>
        <v>620</v>
      </c>
      <c r="G185" s="37">
        <f>SUM(G179:G184)</f>
        <v>472.0711</v>
      </c>
      <c r="H185" s="38">
        <f>G281/G279*G185</f>
        <v>1560.7324264294336</v>
      </c>
      <c r="I185" s="59"/>
      <c r="J185" s="59"/>
      <c r="K185" s="59"/>
      <c r="L185" s="33"/>
      <c r="M185" s="26"/>
    </row>
    <row r="186" spans="1:13" s="15" customFormat="1" ht="15.75">
      <c r="A186" s="16"/>
      <c r="B186" s="16"/>
      <c r="C186" s="16"/>
      <c r="D186" s="24"/>
      <c r="E186" s="24"/>
      <c r="F186" s="24"/>
      <c r="G186" s="24"/>
      <c r="H186" s="24"/>
      <c r="I186" s="60">
        <f>SUM(I179:I185)</f>
        <v>162.61111111111111</v>
      </c>
      <c r="J186" s="59"/>
      <c r="K186" s="60">
        <f>SUM(K179:K185)</f>
        <v>252.61111111111114</v>
      </c>
      <c r="L186" s="33"/>
      <c r="M186" s="26"/>
    </row>
    <row r="187" spans="1:13" s="15" customFormat="1" ht="15.75">
      <c r="A187" s="16"/>
      <c r="B187" s="16"/>
      <c r="C187" s="16"/>
      <c r="D187" s="24"/>
      <c r="E187" s="24"/>
      <c r="F187" s="24"/>
      <c r="G187" s="24"/>
      <c r="H187" s="24"/>
      <c r="I187" s="59">
        <f>50*6</f>
        <v>300</v>
      </c>
      <c r="J187" s="59"/>
      <c r="K187" s="59"/>
      <c r="L187" s="33"/>
      <c r="M187" s="26"/>
    </row>
    <row r="188" spans="1:13" s="15" customFormat="1" ht="15.75">
      <c r="A188" s="16"/>
      <c r="B188" s="16"/>
      <c r="C188" s="16"/>
      <c r="D188" s="24"/>
      <c r="E188" s="24"/>
      <c r="F188" s="24"/>
      <c r="G188" s="24"/>
      <c r="H188" s="24"/>
      <c r="I188" s="59"/>
      <c r="J188" s="59"/>
      <c r="K188" s="59"/>
      <c r="L188" s="38">
        <f>SUM(L178:L183)</f>
        <v>839.40647037510291</v>
      </c>
      <c r="M188" s="26"/>
    </row>
    <row r="189" spans="1:13" s="15" customFormat="1" ht="15.75">
      <c r="A189" s="16"/>
      <c r="B189" s="16"/>
      <c r="C189" s="16"/>
      <c r="D189" s="24"/>
      <c r="E189" s="24"/>
      <c r="F189" s="24"/>
      <c r="G189" s="24"/>
      <c r="H189" s="24"/>
      <c r="I189" s="59"/>
      <c r="J189" s="59"/>
      <c r="K189" s="59"/>
      <c r="L189" s="33">
        <f>H185-L188</f>
        <v>721.32595605433073</v>
      </c>
      <c r="M189" s="26"/>
    </row>
    <row r="190" spans="1:13" s="15" customFormat="1" ht="15.75">
      <c r="A190" s="16"/>
      <c r="B190" s="16"/>
      <c r="C190" s="16"/>
      <c r="D190" s="24"/>
      <c r="E190" s="24"/>
      <c r="F190" s="24"/>
      <c r="G190" s="24"/>
      <c r="H190" s="24"/>
      <c r="I190" s="59"/>
      <c r="J190" s="59"/>
      <c r="K190" s="59"/>
      <c r="L190" s="33"/>
      <c r="M190" s="26"/>
    </row>
    <row r="191" spans="1:13" s="15" customFormat="1" ht="15.75">
      <c r="A191" s="16"/>
      <c r="B191" s="16"/>
      <c r="C191" s="12"/>
      <c r="D191" s="14"/>
      <c r="E191" s="14"/>
      <c r="F191" s="14"/>
      <c r="G191" s="17" t="s">
        <v>36</v>
      </c>
      <c r="H191" s="17" t="s">
        <v>38</v>
      </c>
      <c r="I191" s="61" t="s">
        <v>40</v>
      </c>
      <c r="J191" s="61" t="s">
        <v>40</v>
      </c>
      <c r="K191" s="61" t="s">
        <v>141</v>
      </c>
      <c r="L191" s="31" t="s">
        <v>42</v>
      </c>
      <c r="M191" s="26"/>
    </row>
    <row r="192" spans="1:13" s="15" customFormat="1" ht="15.75">
      <c r="A192" s="16"/>
      <c r="B192" s="16"/>
      <c r="C192" s="19" t="s">
        <v>9</v>
      </c>
      <c r="D192" s="20" t="s">
        <v>10</v>
      </c>
      <c r="E192" s="20" t="s">
        <v>11</v>
      </c>
      <c r="F192" s="20" t="s">
        <v>35</v>
      </c>
      <c r="G192" s="20" t="s">
        <v>37</v>
      </c>
      <c r="H192" s="20" t="s">
        <v>39</v>
      </c>
      <c r="I192" s="62" t="s">
        <v>114</v>
      </c>
      <c r="J192" s="62" t="s">
        <v>115</v>
      </c>
      <c r="K192" s="62" t="s">
        <v>116</v>
      </c>
      <c r="L192" s="32" t="s">
        <v>43</v>
      </c>
      <c r="M192" s="26"/>
    </row>
    <row r="193" spans="1:13" s="15" customFormat="1" ht="15.75">
      <c r="A193" s="16"/>
      <c r="B193" s="16"/>
      <c r="C193" s="36"/>
      <c r="D193" s="17"/>
      <c r="E193" s="17"/>
      <c r="F193" s="17"/>
      <c r="G193" s="17"/>
      <c r="H193" s="17"/>
      <c r="I193" s="61"/>
      <c r="J193" s="61"/>
      <c r="K193" s="61"/>
      <c r="L193" s="31"/>
      <c r="M193" s="26"/>
    </row>
    <row r="194" spans="1:13" s="13" customFormat="1" ht="15.75">
      <c r="A194" s="12">
        <v>1</v>
      </c>
      <c r="B194" s="12" t="s">
        <v>210</v>
      </c>
      <c r="C194" s="12" t="s">
        <v>7</v>
      </c>
      <c r="D194" s="14">
        <v>50</v>
      </c>
      <c r="E194" s="14" t="s">
        <v>1</v>
      </c>
      <c r="F194" s="14">
        <v>119</v>
      </c>
      <c r="G194" s="14">
        <f t="shared" ref="G194:G210" si="21">F194*D194/100</f>
        <v>59.5</v>
      </c>
      <c r="H194" s="14" t="s">
        <v>207</v>
      </c>
      <c r="I194" s="48">
        <f>88*50/100</f>
        <v>44</v>
      </c>
      <c r="J194" s="48">
        <v>40</v>
      </c>
      <c r="K194" s="48">
        <f>SUM(I194:J194)</f>
        <v>84</v>
      </c>
      <c r="L194" s="30">
        <f>($H$185/$G$185*G194)/100*K194</f>
        <v>165.24080095761653</v>
      </c>
      <c r="M194" s="22"/>
    </row>
    <row r="195" spans="1:13" s="15" customFormat="1" ht="15.75">
      <c r="A195" s="12">
        <v>2</v>
      </c>
      <c r="B195" s="12" t="s">
        <v>206</v>
      </c>
      <c r="C195" s="12" t="s">
        <v>7</v>
      </c>
      <c r="D195" s="14">
        <v>100</v>
      </c>
      <c r="E195" s="14" t="s">
        <v>1</v>
      </c>
      <c r="F195" s="14">
        <v>119</v>
      </c>
      <c r="G195" s="14">
        <f t="shared" si="21"/>
        <v>119</v>
      </c>
      <c r="H195" s="14" t="s">
        <v>207</v>
      </c>
      <c r="I195" s="48">
        <f>90*50/100</f>
        <v>45</v>
      </c>
      <c r="J195" s="48">
        <v>25</v>
      </c>
      <c r="K195" s="48">
        <f t="shared" ref="K195:K210" si="22">SUM(I195:J195)</f>
        <v>70</v>
      </c>
      <c r="L195" s="30">
        <f t="shared" ref="L195:L210" si="23">($H$185/$G$185*G195)/100*K195</f>
        <v>275.40133492936087</v>
      </c>
      <c r="M195" s="26"/>
    </row>
    <row r="196" spans="1:13" s="13" customFormat="1" ht="15.75">
      <c r="A196" s="12">
        <v>3</v>
      </c>
      <c r="B196" s="12" t="s">
        <v>83</v>
      </c>
      <c r="C196" s="12" t="s">
        <v>7</v>
      </c>
      <c r="D196" s="14">
        <v>100</v>
      </c>
      <c r="E196" s="14" t="s">
        <v>1</v>
      </c>
      <c r="F196" s="14">
        <v>119</v>
      </c>
      <c r="G196" s="14">
        <f>F196*D196/100</f>
        <v>119</v>
      </c>
      <c r="H196" s="14" t="s">
        <v>124</v>
      </c>
      <c r="I196" s="48">
        <f>90*50/90</f>
        <v>50</v>
      </c>
      <c r="J196" s="48">
        <v>15</v>
      </c>
      <c r="K196" s="48">
        <f>SUM(I196:J196)</f>
        <v>65</v>
      </c>
      <c r="L196" s="30">
        <f>($H$108/$G$108*G196)/100*K196</f>
        <v>255.7298110058351</v>
      </c>
      <c r="M196" s="23"/>
    </row>
    <row r="197" spans="1:13" s="15" customFormat="1" ht="15.75">
      <c r="A197" s="12">
        <v>4</v>
      </c>
      <c r="B197" s="12" t="s">
        <v>145</v>
      </c>
      <c r="C197" s="12" t="s">
        <v>7</v>
      </c>
      <c r="D197" s="14">
        <v>27.5</v>
      </c>
      <c r="E197" s="14" t="s">
        <v>1</v>
      </c>
      <c r="F197" s="14">
        <v>119</v>
      </c>
      <c r="G197" s="14">
        <f t="shared" si="21"/>
        <v>32.725000000000001</v>
      </c>
      <c r="H197" s="14" t="s">
        <v>125</v>
      </c>
      <c r="I197" s="48">
        <f>85*50/100</f>
        <v>42.5</v>
      </c>
      <c r="J197" s="48">
        <v>25</v>
      </c>
      <c r="K197" s="48">
        <f t="shared" si="22"/>
        <v>67.5</v>
      </c>
      <c r="L197" s="30">
        <f t="shared" si="23"/>
        <v>73.030532566089448</v>
      </c>
      <c r="M197" s="26"/>
    </row>
    <row r="198" spans="1:13" s="15" customFormat="1" ht="15.75">
      <c r="A198" s="12">
        <v>5</v>
      </c>
      <c r="B198" s="12" t="s">
        <v>188</v>
      </c>
      <c r="C198" s="12" t="s">
        <v>225</v>
      </c>
      <c r="D198" s="14">
        <v>19.440000000000001</v>
      </c>
      <c r="E198" s="14" t="s">
        <v>1</v>
      </c>
      <c r="F198" s="14">
        <v>119</v>
      </c>
      <c r="G198" s="14">
        <f t="shared" si="21"/>
        <v>23.133600000000001</v>
      </c>
      <c r="H198" s="14" t="s">
        <v>117</v>
      </c>
      <c r="I198" s="48">
        <f>85*50/100</f>
        <v>42.5</v>
      </c>
      <c r="J198" s="48">
        <v>25</v>
      </c>
      <c r="K198" s="48">
        <f t="shared" si="22"/>
        <v>67.5</v>
      </c>
      <c r="L198" s="30">
        <f t="shared" si="23"/>
        <v>51.625947384901053</v>
      </c>
      <c r="M198" s="26"/>
    </row>
    <row r="199" spans="1:13" s="15" customFormat="1" ht="15.75">
      <c r="A199" s="12">
        <v>6</v>
      </c>
      <c r="B199" s="12" t="s">
        <v>211</v>
      </c>
      <c r="C199" s="12" t="s">
        <v>7</v>
      </c>
      <c r="D199" s="14">
        <v>46.08</v>
      </c>
      <c r="E199" s="14" t="s">
        <v>1</v>
      </c>
      <c r="F199" s="14">
        <v>119</v>
      </c>
      <c r="G199" s="14">
        <f t="shared" si="21"/>
        <v>54.835199999999993</v>
      </c>
      <c r="H199" s="14" t="s">
        <v>124</v>
      </c>
      <c r="I199" s="48">
        <f>100*50/100</f>
        <v>50</v>
      </c>
      <c r="J199" s="48">
        <v>25</v>
      </c>
      <c r="K199" s="48">
        <f t="shared" si="22"/>
        <v>75</v>
      </c>
      <c r="L199" s="30">
        <f t="shared" si="23"/>
        <v>135.96957335941016</v>
      </c>
      <c r="M199" s="26"/>
    </row>
    <row r="200" spans="1:13" s="15" customFormat="1" ht="15.75">
      <c r="A200" s="12">
        <v>7</v>
      </c>
      <c r="B200" s="12" t="s">
        <v>236</v>
      </c>
      <c r="C200" s="12" t="s">
        <v>7</v>
      </c>
      <c r="D200" s="14">
        <v>50</v>
      </c>
      <c r="E200" s="14" t="s">
        <v>1</v>
      </c>
      <c r="F200" s="14">
        <v>119</v>
      </c>
      <c r="G200" s="14">
        <f t="shared" si="21"/>
        <v>59.5</v>
      </c>
      <c r="H200" s="14" t="s">
        <v>125</v>
      </c>
      <c r="I200" s="48">
        <f>90*50/100</f>
        <v>45</v>
      </c>
      <c r="J200" s="48">
        <v>50</v>
      </c>
      <c r="K200" s="48">
        <f t="shared" si="22"/>
        <v>95</v>
      </c>
      <c r="L200" s="30">
        <f t="shared" si="23"/>
        <v>186.8794772734949</v>
      </c>
      <c r="M200" s="26"/>
    </row>
    <row r="201" spans="1:13" s="15" customFormat="1" ht="15.75">
      <c r="A201" s="12">
        <v>8</v>
      </c>
      <c r="B201" s="12" t="s">
        <v>209</v>
      </c>
      <c r="C201" s="12" t="s">
        <v>7</v>
      </c>
      <c r="D201" s="14">
        <v>50</v>
      </c>
      <c r="E201" s="14" t="s">
        <v>1</v>
      </c>
      <c r="F201" s="14">
        <v>119</v>
      </c>
      <c r="G201" s="14">
        <f t="shared" si="21"/>
        <v>59.5</v>
      </c>
      <c r="H201" s="14" t="s">
        <v>117</v>
      </c>
      <c r="I201" s="48">
        <f>76*50/90</f>
        <v>42.222222222222221</v>
      </c>
      <c r="J201" s="48">
        <v>0</v>
      </c>
      <c r="K201" s="48">
        <f t="shared" si="22"/>
        <v>42.222222222222221</v>
      </c>
      <c r="L201" s="30">
        <f t="shared" si="23"/>
        <v>83.057545454886622</v>
      </c>
      <c r="M201" s="26"/>
    </row>
    <row r="202" spans="1:13" s="15" customFormat="1" ht="15.75">
      <c r="A202" s="12">
        <v>9</v>
      </c>
      <c r="B202" s="12" t="s">
        <v>241</v>
      </c>
      <c r="C202" s="12" t="s">
        <v>7</v>
      </c>
      <c r="D202" s="14">
        <v>54.16</v>
      </c>
      <c r="E202" s="14" t="s">
        <v>1</v>
      </c>
      <c r="F202" s="14">
        <v>119</v>
      </c>
      <c r="G202" s="14">
        <f t="shared" si="21"/>
        <v>64.450400000000002</v>
      </c>
      <c r="H202" s="14" t="s">
        <v>124</v>
      </c>
      <c r="I202" s="48">
        <f>90*50/90</f>
        <v>50</v>
      </c>
      <c r="J202" s="48">
        <v>40</v>
      </c>
      <c r="K202" s="48">
        <f t="shared" si="22"/>
        <v>90</v>
      </c>
      <c r="L202" s="30">
        <f t="shared" si="23"/>
        <v>191.77375242566811</v>
      </c>
      <c r="M202" s="26"/>
    </row>
    <row r="203" spans="1:13" s="15" customFormat="1" ht="15.75">
      <c r="A203" s="12">
        <v>10</v>
      </c>
      <c r="B203" s="12" t="s">
        <v>187</v>
      </c>
      <c r="C203" s="12" t="s">
        <v>7</v>
      </c>
      <c r="D203" s="14">
        <v>100</v>
      </c>
      <c r="E203" s="14" t="s">
        <v>1</v>
      </c>
      <c r="F203" s="14">
        <v>119</v>
      </c>
      <c r="G203" s="14">
        <f t="shared" si="21"/>
        <v>119</v>
      </c>
      <c r="H203" s="14" t="s">
        <v>117</v>
      </c>
      <c r="I203" s="48">
        <f>90*50/100</f>
        <v>45</v>
      </c>
      <c r="J203" s="48">
        <v>40</v>
      </c>
      <c r="K203" s="48">
        <f t="shared" si="22"/>
        <v>85</v>
      </c>
      <c r="L203" s="30">
        <f t="shared" si="23"/>
        <v>334.4159066999382</v>
      </c>
      <c r="M203" s="26"/>
    </row>
    <row r="204" spans="1:13" s="15" customFormat="1" ht="15.75">
      <c r="A204" s="12">
        <v>11</v>
      </c>
      <c r="B204" s="12" t="s">
        <v>238</v>
      </c>
      <c r="C204" s="12" t="s">
        <v>7</v>
      </c>
      <c r="D204" s="14">
        <v>50</v>
      </c>
      <c r="E204" s="14" t="s">
        <v>1</v>
      </c>
      <c r="F204" s="14">
        <v>119</v>
      </c>
      <c r="G204" s="14">
        <f t="shared" si="21"/>
        <v>59.5</v>
      </c>
      <c r="H204" s="14" t="s">
        <v>125</v>
      </c>
      <c r="I204" s="48">
        <f>90*50/100</f>
        <v>45</v>
      </c>
      <c r="J204" s="48">
        <v>50</v>
      </c>
      <c r="K204" s="48">
        <f t="shared" si="22"/>
        <v>95</v>
      </c>
      <c r="L204" s="30">
        <f t="shared" si="23"/>
        <v>186.8794772734949</v>
      </c>
      <c r="M204" s="26"/>
    </row>
    <row r="205" spans="1:13" s="15" customFormat="1" ht="15.75">
      <c r="A205" s="12">
        <v>12</v>
      </c>
      <c r="B205" s="12" t="s">
        <v>235</v>
      </c>
      <c r="C205" s="12" t="s">
        <v>7</v>
      </c>
      <c r="D205" s="14">
        <v>50</v>
      </c>
      <c r="E205" s="14" t="s">
        <v>1</v>
      </c>
      <c r="F205" s="14">
        <v>119</v>
      </c>
      <c r="G205" s="14">
        <f t="shared" si="21"/>
        <v>59.5</v>
      </c>
      <c r="H205" s="14" t="s">
        <v>117</v>
      </c>
      <c r="I205" s="48">
        <f>90*50/100</f>
        <v>45</v>
      </c>
      <c r="J205" s="48">
        <v>15</v>
      </c>
      <c r="K205" s="48">
        <f t="shared" si="22"/>
        <v>60</v>
      </c>
      <c r="L205" s="30">
        <f t="shared" si="23"/>
        <v>118.02914354115467</v>
      </c>
      <c r="M205" s="26"/>
    </row>
    <row r="206" spans="1:13" s="15" customFormat="1" ht="15.75">
      <c r="A206" s="12">
        <v>13</v>
      </c>
      <c r="B206" s="12" t="s">
        <v>189</v>
      </c>
      <c r="C206" s="12" t="s">
        <v>7</v>
      </c>
      <c r="D206" s="14">
        <v>100</v>
      </c>
      <c r="E206" s="14" t="s">
        <v>1</v>
      </c>
      <c r="F206" s="14">
        <v>119</v>
      </c>
      <c r="G206" s="14">
        <f t="shared" si="21"/>
        <v>119</v>
      </c>
      <c r="H206" s="14" t="s">
        <v>131</v>
      </c>
      <c r="I206" s="48">
        <f>93*50/100</f>
        <v>46.5</v>
      </c>
      <c r="J206" s="48">
        <v>50</v>
      </c>
      <c r="K206" s="48">
        <f t="shared" si="22"/>
        <v>96.5</v>
      </c>
      <c r="L206" s="30">
        <f t="shared" si="23"/>
        <v>379.66041172404749</v>
      </c>
      <c r="M206" s="26"/>
    </row>
    <row r="207" spans="1:13" s="15" customFormat="1" ht="15.75">
      <c r="A207" s="12">
        <v>14</v>
      </c>
      <c r="B207" s="12" t="s">
        <v>239</v>
      </c>
      <c r="C207" s="12" t="s">
        <v>7</v>
      </c>
      <c r="D207" s="14">
        <v>50</v>
      </c>
      <c r="E207" s="14" t="s">
        <v>1</v>
      </c>
      <c r="F207" s="14">
        <v>119</v>
      </c>
      <c r="G207" s="14">
        <f t="shared" si="21"/>
        <v>59.5</v>
      </c>
      <c r="H207" s="14" t="s">
        <v>117</v>
      </c>
      <c r="I207" s="48">
        <f>90*50/100</f>
        <v>45</v>
      </c>
      <c r="J207" s="48">
        <v>50</v>
      </c>
      <c r="K207" s="48">
        <f t="shared" si="22"/>
        <v>95</v>
      </c>
      <c r="L207" s="30">
        <f t="shared" si="23"/>
        <v>186.8794772734949</v>
      </c>
      <c r="M207" s="26"/>
    </row>
    <row r="208" spans="1:13" s="15" customFormat="1" ht="15.75">
      <c r="A208" s="12">
        <v>15</v>
      </c>
      <c r="B208" s="12" t="s">
        <v>190</v>
      </c>
      <c r="C208" s="12" t="s">
        <v>7</v>
      </c>
      <c r="D208" s="14">
        <v>100</v>
      </c>
      <c r="E208" s="14" t="s">
        <v>1</v>
      </c>
      <c r="F208" s="14">
        <v>119</v>
      </c>
      <c r="G208" s="14">
        <f t="shared" si="21"/>
        <v>119</v>
      </c>
      <c r="H208" s="14" t="s">
        <v>125</v>
      </c>
      <c r="I208" s="48">
        <f>90*50/100</f>
        <v>45</v>
      </c>
      <c r="J208" s="48">
        <v>50</v>
      </c>
      <c r="K208" s="48">
        <f t="shared" si="22"/>
        <v>95</v>
      </c>
      <c r="L208" s="30">
        <f t="shared" si="23"/>
        <v>373.7589545469898</v>
      </c>
      <c r="M208" s="26"/>
    </row>
    <row r="209" spans="1:13" s="15" customFormat="1" ht="15.75">
      <c r="A209" s="12">
        <v>16</v>
      </c>
      <c r="B209" s="12" t="s">
        <v>208</v>
      </c>
      <c r="C209" s="12" t="s">
        <v>7</v>
      </c>
      <c r="D209" s="14">
        <v>100</v>
      </c>
      <c r="E209" s="14" t="s">
        <v>1</v>
      </c>
      <c r="F209" s="14">
        <v>119</v>
      </c>
      <c r="G209" s="14">
        <f t="shared" si="21"/>
        <v>119</v>
      </c>
      <c r="H209" s="14" t="s">
        <v>131</v>
      </c>
      <c r="I209" s="48">
        <f>89*50/100</f>
        <v>44.5</v>
      </c>
      <c r="J209" s="48">
        <v>50</v>
      </c>
      <c r="K209" s="48">
        <f t="shared" si="22"/>
        <v>94.5</v>
      </c>
      <c r="L209" s="30">
        <f t="shared" si="23"/>
        <v>371.7918021546372</v>
      </c>
      <c r="M209" s="26"/>
    </row>
    <row r="210" spans="1:13" s="15" customFormat="1" ht="15.75">
      <c r="A210" s="12">
        <v>17</v>
      </c>
      <c r="B210" s="12" t="s">
        <v>191</v>
      </c>
      <c r="C210" s="12" t="s">
        <v>7</v>
      </c>
      <c r="D210" s="14">
        <v>100</v>
      </c>
      <c r="E210" s="14" t="s">
        <v>1</v>
      </c>
      <c r="F210" s="14">
        <v>119</v>
      </c>
      <c r="G210" s="14">
        <f t="shared" si="21"/>
        <v>119</v>
      </c>
      <c r="H210" s="14" t="s">
        <v>117</v>
      </c>
      <c r="I210" s="48">
        <f>90*50/100</f>
        <v>45</v>
      </c>
      <c r="J210" s="48">
        <v>40</v>
      </c>
      <c r="K210" s="48">
        <f t="shared" si="22"/>
        <v>85</v>
      </c>
      <c r="L210" s="30">
        <f t="shared" si="23"/>
        <v>334.4159066999382</v>
      </c>
      <c r="M210" s="26"/>
    </row>
    <row r="211" spans="1:13" s="15" customFormat="1" ht="15.75">
      <c r="A211" s="16"/>
      <c r="B211" s="16"/>
      <c r="C211" s="16"/>
      <c r="D211" s="24"/>
      <c r="E211" s="24"/>
      <c r="F211" s="24"/>
      <c r="G211" s="24"/>
      <c r="H211" s="24"/>
      <c r="I211" s="59"/>
      <c r="J211" s="59"/>
      <c r="K211" s="59"/>
      <c r="L211" s="33"/>
      <c r="M211" s="26"/>
    </row>
    <row r="212" spans="1:13" s="15" customFormat="1" ht="15.75">
      <c r="A212" s="16"/>
      <c r="B212" s="16"/>
      <c r="C212" s="16"/>
      <c r="D212" s="37">
        <f>SUM(D194:D211)</f>
        <v>1147.1799999999998</v>
      </c>
      <c r="E212" s="24"/>
      <c r="F212" s="37">
        <f>SUM(F194:F211)</f>
        <v>2023</v>
      </c>
      <c r="G212" s="37">
        <f>SUM(G194:G211)</f>
        <v>1365.1442</v>
      </c>
      <c r="H212" s="38">
        <f>G281/G279*G212</f>
        <v>4513.3557629180605</v>
      </c>
      <c r="I212" s="59"/>
      <c r="J212" s="59"/>
      <c r="K212" s="59"/>
      <c r="L212" s="33"/>
      <c r="M212" s="26"/>
    </row>
    <row r="213" spans="1:13" s="15" customFormat="1" ht="15.75">
      <c r="A213" s="16"/>
      <c r="B213" s="16"/>
      <c r="C213" s="16"/>
      <c r="D213" s="24"/>
      <c r="E213" s="24"/>
      <c r="F213" s="24"/>
      <c r="G213" s="24"/>
      <c r="H213" s="24"/>
      <c r="I213" s="60">
        <f>SUM(I194:I212)</f>
        <v>772.22222222222217</v>
      </c>
      <c r="J213" s="59"/>
      <c r="K213" s="60">
        <f>SUM(K194:K212)</f>
        <v>1362.2222222222222</v>
      </c>
      <c r="L213" s="33"/>
      <c r="M213" s="26"/>
    </row>
    <row r="214" spans="1:13" s="15" customFormat="1" ht="15.75">
      <c r="A214" s="16"/>
      <c r="B214" s="16"/>
      <c r="C214" s="16"/>
      <c r="D214" s="24"/>
      <c r="E214" s="24"/>
      <c r="F214" s="24"/>
      <c r="G214" s="24"/>
      <c r="H214" s="24"/>
      <c r="I214" s="59">
        <f>50*17</f>
        <v>850</v>
      </c>
      <c r="J214" s="59"/>
      <c r="K214" s="59"/>
      <c r="L214" s="33"/>
      <c r="M214" s="26"/>
    </row>
    <row r="215" spans="1:13" s="15" customFormat="1" ht="15.75">
      <c r="A215" s="16"/>
      <c r="B215" s="16"/>
      <c r="C215" s="16"/>
      <c r="D215" s="24"/>
      <c r="E215" s="24"/>
      <c r="F215" s="24"/>
      <c r="G215" s="24"/>
      <c r="H215" s="24"/>
      <c r="I215" s="59"/>
      <c r="J215" s="59"/>
      <c r="K215" s="59"/>
      <c r="L215" s="38">
        <f>SUM(L194:L214)</f>
        <v>3704.539855270958</v>
      </c>
      <c r="M215" s="26"/>
    </row>
    <row r="216" spans="1:13" s="1" customFormat="1" ht="15.75">
      <c r="A216" s="12"/>
      <c r="B216" s="12"/>
      <c r="C216" s="16"/>
      <c r="D216" s="24"/>
      <c r="E216" s="24"/>
      <c r="F216" s="24"/>
      <c r="G216" s="24"/>
      <c r="H216" s="24"/>
      <c r="I216" s="59"/>
      <c r="J216" s="59"/>
      <c r="K216" s="59"/>
      <c r="L216" s="33">
        <f>H212-L215</f>
        <v>808.81590764710245</v>
      </c>
      <c r="M216" s="22"/>
    </row>
    <row r="217" spans="1:13" s="1" customFormat="1" ht="15.75">
      <c r="A217" s="12"/>
      <c r="B217" s="12"/>
      <c r="C217" s="16"/>
      <c r="D217" s="24"/>
      <c r="E217" s="24"/>
      <c r="F217" s="24"/>
      <c r="G217" s="24"/>
      <c r="H217" s="24"/>
      <c r="I217" s="59"/>
      <c r="J217" s="59"/>
      <c r="K217" s="59"/>
      <c r="L217" s="33"/>
      <c r="M217" s="22"/>
    </row>
    <row r="218" spans="1:13" s="1" customFormat="1" ht="15.75">
      <c r="A218" s="12"/>
      <c r="B218" s="12"/>
      <c r="C218" s="16"/>
      <c r="D218" s="24"/>
      <c r="E218" s="24"/>
      <c r="F218" s="24"/>
      <c r="G218" s="24"/>
      <c r="H218" s="24"/>
      <c r="I218" s="59"/>
      <c r="J218" s="59"/>
      <c r="K218" s="59"/>
      <c r="L218" s="33"/>
      <c r="M218" s="22"/>
    </row>
    <row r="219" spans="1:13" s="1" customFormat="1" ht="15.75">
      <c r="A219" s="12"/>
      <c r="B219" s="12"/>
      <c r="C219" s="12"/>
      <c r="D219" s="14"/>
      <c r="E219" s="14"/>
      <c r="F219" s="14"/>
      <c r="G219" s="17" t="s">
        <v>36</v>
      </c>
      <c r="H219" s="17" t="s">
        <v>38</v>
      </c>
      <c r="I219" s="61" t="s">
        <v>40</v>
      </c>
      <c r="J219" s="61" t="s">
        <v>40</v>
      </c>
      <c r="K219" s="61" t="s">
        <v>40</v>
      </c>
      <c r="L219" s="31" t="s">
        <v>42</v>
      </c>
      <c r="M219" s="22"/>
    </row>
    <row r="220" spans="1:13" s="1" customFormat="1" ht="15.75">
      <c r="A220" s="12"/>
      <c r="B220" s="12"/>
      <c r="C220" s="19" t="s">
        <v>9</v>
      </c>
      <c r="D220" s="20" t="s">
        <v>10</v>
      </c>
      <c r="E220" s="20" t="s">
        <v>11</v>
      </c>
      <c r="F220" s="20" t="s">
        <v>35</v>
      </c>
      <c r="G220" s="20" t="s">
        <v>37</v>
      </c>
      <c r="H220" s="20" t="s">
        <v>39</v>
      </c>
      <c r="I220" s="62" t="s">
        <v>41</v>
      </c>
      <c r="J220" s="62" t="s">
        <v>115</v>
      </c>
      <c r="K220" s="62" t="s">
        <v>116</v>
      </c>
      <c r="L220" s="32" t="s">
        <v>43</v>
      </c>
      <c r="M220" s="22"/>
    </row>
    <row r="221" spans="1:13" s="1" customFormat="1" ht="15.75">
      <c r="A221" s="12"/>
      <c r="B221" s="12"/>
      <c r="C221" s="36"/>
      <c r="D221" s="17"/>
      <c r="E221" s="17"/>
      <c r="F221" s="17"/>
      <c r="G221" s="17"/>
      <c r="H221" s="17"/>
      <c r="I221" s="61"/>
      <c r="J221" s="61"/>
      <c r="K221" s="61"/>
      <c r="L221" s="31"/>
      <c r="M221" s="22"/>
    </row>
    <row r="222" spans="1:13" s="13" customFormat="1" ht="15.75">
      <c r="A222" s="12">
        <v>1</v>
      </c>
      <c r="B222" s="12" t="s">
        <v>250</v>
      </c>
      <c r="C222" s="12" t="s">
        <v>7</v>
      </c>
      <c r="D222" s="14">
        <v>100</v>
      </c>
      <c r="E222" s="14" t="s">
        <v>0</v>
      </c>
      <c r="F222" s="14">
        <v>130</v>
      </c>
      <c r="G222" s="14">
        <f>F222*D222/100</f>
        <v>130</v>
      </c>
      <c r="H222" s="14" t="s">
        <v>122</v>
      </c>
      <c r="I222" s="48">
        <f>76*50/100</f>
        <v>38</v>
      </c>
      <c r="J222" s="48">
        <v>50</v>
      </c>
      <c r="K222" s="48">
        <f>SUM(I222:J222)</f>
        <v>88</v>
      </c>
      <c r="L222" s="30">
        <f>($H$185/$G$185*G222)/100*K222</f>
        <v>378.22224148762166</v>
      </c>
      <c r="M222" s="22"/>
    </row>
    <row r="223" spans="1:13" s="13" customFormat="1" ht="15.75">
      <c r="A223" s="12">
        <v>2</v>
      </c>
      <c r="B223" s="12" t="s">
        <v>249</v>
      </c>
      <c r="C223" s="12" t="s">
        <v>7</v>
      </c>
      <c r="D223" s="14">
        <v>41.66</v>
      </c>
      <c r="E223" s="14" t="s">
        <v>0</v>
      </c>
      <c r="F223" s="14">
        <v>130</v>
      </c>
      <c r="G223" s="14">
        <f>F223*D223/100</f>
        <v>54.157999999999994</v>
      </c>
      <c r="H223" s="14" t="s">
        <v>122</v>
      </c>
      <c r="I223" s="48">
        <f>81*50/100</f>
        <v>40.5</v>
      </c>
      <c r="J223" s="48">
        <v>40</v>
      </c>
      <c r="K223" s="48">
        <f>SUM(I223:J223)</f>
        <v>80.5</v>
      </c>
      <c r="L223" s="30">
        <f>($H$185/$G$185*G223)/100*K223</f>
        <v>144.13834724092416</v>
      </c>
      <c r="M223" s="22"/>
    </row>
    <row r="224" spans="1:13" s="13" customFormat="1" ht="15.75">
      <c r="A224" s="12">
        <v>3</v>
      </c>
      <c r="B224" s="12" t="s">
        <v>192</v>
      </c>
      <c r="C224" s="12" t="s">
        <v>7</v>
      </c>
      <c r="D224" s="14">
        <v>100</v>
      </c>
      <c r="E224" s="14" t="s">
        <v>0</v>
      </c>
      <c r="F224" s="14">
        <v>130</v>
      </c>
      <c r="G224" s="14">
        <f t="shared" ref="G224:G229" si="24">F224*D224/100</f>
        <v>130</v>
      </c>
      <c r="H224" s="14" t="s">
        <v>128</v>
      </c>
      <c r="I224" s="48">
        <f>77*50/100</f>
        <v>38.5</v>
      </c>
      <c r="J224" s="48">
        <v>50</v>
      </c>
      <c r="K224" s="48">
        <f t="shared" ref="K224:K229" si="25">SUM(I224:J224)</f>
        <v>88.5</v>
      </c>
      <c r="L224" s="30">
        <f t="shared" ref="L224:L228" si="26">($H$185/$G$185*G224)/100*K224</f>
        <v>380.37123149607402</v>
      </c>
      <c r="M224" s="22"/>
    </row>
    <row r="225" spans="1:13" s="13" customFormat="1" ht="15.75">
      <c r="A225" s="12">
        <v>4</v>
      </c>
      <c r="B225" s="12" t="s">
        <v>170</v>
      </c>
      <c r="C225" s="12" t="s">
        <v>7</v>
      </c>
      <c r="D225" s="14">
        <v>47.08</v>
      </c>
      <c r="E225" s="14" t="s">
        <v>0</v>
      </c>
      <c r="F225" s="14">
        <v>130</v>
      </c>
      <c r="G225" s="14">
        <f t="shared" si="24"/>
        <v>61.203999999999994</v>
      </c>
      <c r="H225" s="14" t="s">
        <v>122</v>
      </c>
      <c r="I225" s="48">
        <f>68*50/100</f>
        <v>34</v>
      </c>
      <c r="J225" s="48">
        <v>15</v>
      </c>
      <c r="K225" s="48">
        <f t="shared" si="25"/>
        <v>49</v>
      </c>
      <c r="L225" s="30">
        <f t="shared" si="26"/>
        <v>99.150960605980018</v>
      </c>
      <c r="M225" s="22"/>
    </row>
    <row r="226" spans="1:13" s="13" customFormat="1" ht="15.75">
      <c r="A226" s="12">
        <v>5</v>
      </c>
      <c r="B226" s="12" t="s">
        <v>175</v>
      </c>
      <c r="C226" s="12" t="s">
        <v>7</v>
      </c>
      <c r="D226" s="14">
        <v>100</v>
      </c>
      <c r="E226" s="14" t="s">
        <v>0</v>
      </c>
      <c r="F226" s="14">
        <v>130</v>
      </c>
      <c r="G226" s="14">
        <f t="shared" si="24"/>
        <v>130</v>
      </c>
      <c r="H226" s="14" t="s">
        <v>122</v>
      </c>
      <c r="I226" s="48">
        <f>79*50/100</f>
        <v>39.5</v>
      </c>
      <c r="J226" s="48">
        <v>50</v>
      </c>
      <c r="K226" s="48">
        <f t="shared" si="25"/>
        <v>89.5</v>
      </c>
      <c r="L226" s="30">
        <f t="shared" si="26"/>
        <v>384.66921151297879</v>
      </c>
      <c r="M226" s="22"/>
    </row>
    <row r="227" spans="1:13" s="13" customFormat="1" ht="15.75">
      <c r="A227" s="12">
        <v>6</v>
      </c>
      <c r="B227" s="12" t="s">
        <v>251</v>
      </c>
      <c r="C227" s="12" t="s">
        <v>7</v>
      </c>
      <c r="D227" s="14">
        <v>87.5</v>
      </c>
      <c r="E227" s="14" t="s">
        <v>30</v>
      </c>
      <c r="F227" s="14">
        <v>136</v>
      </c>
      <c r="G227" s="14">
        <f t="shared" si="24"/>
        <v>119</v>
      </c>
      <c r="H227" s="14" t="s">
        <v>122</v>
      </c>
      <c r="I227" s="48">
        <f>83*50/100</f>
        <v>41.5</v>
      </c>
      <c r="J227" s="48">
        <v>50</v>
      </c>
      <c r="K227" s="48">
        <f t="shared" si="25"/>
        <v>91.5</v>
      </c>
      <c r="L227" s="30">
        <f t="shared" si="26"/>
        <v>359.98888780052175</v>
      </c>
      <c r="M227" s="22"/>
    </row>
    <row r="228" spans="1:13" s="13" customFormat="1" ht="15.75">
      <c r="A228" s="12">
        <v>7</v>
      </c>
      <c r="B228" s="12" t="s">
        <v>193</v>
      </c>
      <c r="C228" s="12" t="s">
        <v>7</v>
      </c>
      <c r="D228" s="14">
        <v>50</v>
      </c>
      <c r="E228" s="14" t="s">
        <v>0</v>
      </c>
      <c r="F228" s="14">
        <v>130</v>
      </c>
      <c r="G228" s="14">
        <f t="shared" si="24"/>
        <v>65</v>
      </c>
      <c r="H228" s="14" t="s">
        <v>122</v>
      </c>
      <c r="I228" s="48">
        <f>81*50/100</f>
        <v>40.5</v>
      </c>
      <c r="J228" s="48">
        <v>50</v>
      </c>
      <c r="K228" s="48">
        <f t="shared" si="25"/>
        <v>90.5</v>
      </c>
      <c r="L228" s="30">
        <f t="shared" si="26"/>
        <v>194.48359576494181</v>
      </c>
      <c r="M228" s="22"/>
    </row>
    <row r="229" spans="1:13" s="13" customFormat="1" ht="15.75">
      <c r="A229" s="12">
        <v>8</v>
      </c>
      <c r="B229" s="12" t="s">
        <v>194</v>
      </c>
      <c r="C229" s="12" t="s">
        <v>7</v>
      </c>
      <c r="D229" s="14">
        <v>100</v>
      </c>
      <c r="E229" s="14" t="s">
        <v>0</v>
      </c>
      <c r="F229" s="14">
        <v>130</v>
      </c>
      <c r="G229" s="14">
        <f t="shared" si="24"/>
        <v>130</v>
      </c>
      <c r="H229" s="14" t="s">
        <v>122</v>
      </c>
      <c r="I229" s="48">
        <f>80*50/100</f>
        <v>40</v>
      </c>
      <c r="J229" s="48">
        <v>50</v>
      </c>
      <c r="K229" s="48">
        <f t="shared" si="25"/>
        <v>90</v>
      </c>
      <c r="L229" s="30">
        <f>($H$185/$G$185*G229)/100*K229</f>
        <v>386.81820152143121</v>
      </c>
      <c r="M229" s="22"/>
    </row>
    <row r="231" spans="1:13" s="13" customFormat="1" ht="15.75">
      <c r="A231" s="12"/>
      <c r="B231" s="12"/>
      <c r="C231" s="12"/>
      <c r="D231" s="14"/>
      <c r="E231" s="12"/>
      <c r="F231" s="14"/>
      <c r="G231" s="14"/>
      <c r="H231" s="14"/>
      <c r="I231" s="48"/>
      <c r="J231" s="48"/>
      <c r="K231" s="48"/>
      <c r="L231" s="30"/>
      <c r="M231" s="23"/>
    </row>
    <row r="232" spans="1:13" s="1" customFormat="1" ht="15.75">
      <c r="A232" s="12"/>
      <c r="B232" s="12"/>
      <c r="C232" s="16"/>
      <c r="D232" s="37">
        <f>SUM(D222:D231)</f>
        <v>626.24</v>
      </c>
      <c r="E232" s="24"/>
      <c r="F232" s="37">
        <f>SUM(F222:F231)</f>
        <v>1046</v>
      </c>
      <c r="G232" s="37">
        <f>SUM(G222:G230)</f>
        <v>819.36200000000008</v>
      </c>
      <c r="H232" s="38">
        <f>G281/G279*G232</f>
        <v>2708.9242327778034</v>
      </c>
      <c r="I232" s="59"/>
      <c r="J232" s="59"/>
      <c r="K232" s="59"/>
      <c r="L232" s="33"/>
      <c r="M232" s="22"/>
    </row>
    <row r="233" spans="1:13" s="1" customFormat="1" ht="15.75">
      <c r="A233" s="12"/>
      <c r="B233" s="12"/>
      <c r="C233" s="16"/>
      <c r="D233" s="24"/>
      <c r="E233" s="24"/>
      <c r="F233" s="24"/>
      <c r="G233" s="24"/>
      <c r="H233" s="24"/>
      <c r="I233" s="60">
        <f>SUM(I222:I232)</f>
        <v>312.5</v>
      </c>
      <c r="J233" s="59"/>
      <c r="K233" s="60">
        <f>SUM(K222:K232)</f>
        <v>667.5</v>
      </c>
      <c r="L233" s="33"/>
      <c r="M233" s="22"/>
    </row>
    <row r="234" spans="1:13" s="1" customFormat="1" ht="15.75">
      <c r="A234" s="12"/>
      <c r="B234" s="12"/>
      <c r="C234" s="16"/>
      <c r="D234" s="24"/>
      <c r="E234" s="24"/>
      <c r="F234" s="24"/>
      <c r="G234" s="24"/>
      <c r="H234" s="24"/>
      <c r="I234" s="59">
        <f>8*50</f>
        <v>400</v>
      </c>
      <c r="J234" s="59"/>
      <c r="K234" s="59"/>
      <c r="L234" s="33"/>
      <c r="M234" s="22"/>
    </row>
    <row r="235" spans="1:13" s="1" customFormat="1" ht="15.75">
      <c r="A235" s="12"/>
      <c r="B235" s="12"/>
      <c r="C235" s="16"/>
      <c r="D235" s="24"/>
      <c r="E235" s="24"/>
      <c r="F235" s="24"/>
      <c r="G235" s="24"/>
      <c r="H235" s="24"/>
      <c r="I235" s="59"/>
      <c r="J235" s="59"/>
      <c r="K235" s="59"/>
      <c r="L235" s="38">
        <f>SUM(L222:L234)</f>
        <v>2327.8426774304735</v>
      </c>
      <c r="M235" s="22"/>
    </row>
    <row r="236" spans="1:13" s="1" customFormat="1" ht="15.75">
      <c r="A236" s="12"/>
      <c r="B236" s="12"/>
      <c r="C236" s="16"/>
      <c r="D236" s="24"/>
      <c r="E236" s="24"/>
      <c r="F236" s="24"/>
      <c r="G236" s="24"/>
      <c r="H236" s="24"/>
      <c r="I236" s="59"/>
      <c r="J236" s="59"/>
      <c r="K236" s="59"/>
      <c r="L236" s="33">
        <f>H232-L235</f>
        <v>381.08155534732987</v>
      </c>
      <c r="M236" s="22"/>
    </row>
    <row r="237" spans="1:13" s="1" customFormat="1" ht="15.75">
      <c r="A237" s="12"/>
      <c r="B237" s="12"/>
      <c r="C237" s="16"/>
      <c r="D237" s="24"/>
      <c r="E237" s="24"/>
      <c r="F237" s="24"/>
      <c r="G237" s="24"/>
      <c r="H237" s="24"/>
      <c r="I237" s="59"/>
      <c r="J237" s="59"/>
      <c r="K237" s="59"/>
      <c r="L237" s="33"/>
      <c r="M237" s="22"/>
    </row>
    <row r="238" spans="1:13" s="1" customFormat="1" ht="15.75">
      <c r="A238" s="12"/>
      <c r="B238" s="12"/>
      <c r="C238" s="16"/>
      <c r="D238" s="24"/>
      <c r="E238" s="24"/>
      <c r="F238" s="24"/>
      <c r="G238" s="24"/>
      <c r="H238" s="24"/>
      <c r="I238" s="59"/>
      <c r="J238" s="59"/>
      <c r="K238" s="59"/>
      <c r="L238" s="33"/>
      <c r="M238" s="22"/>
    </row>
    <row r="239" spans="1:13" s="1" customFormat="1" ht="15.75">
      <c r="A239" s="12"/>
      <c r="B239" s="12"/>
      <c r="C239" s="12"/>
      <c r="D239" s="14"/>
      <c r="E239" s="14"/>
      <c r="F239" s="14"/>
      <c r="G239" s="17" t="s">
        <v>36</v>
      </c>
      <c r="H239" s="17" t="s">
        <v>38</v>
      </c>
      <c r="I239" s="61" t="s">
        <v>40</v>
      </c>
      <c r="J239" s="61" t="s">
        <v>40</v>
      </c>
      <c r="K239" s="61" t="s">
        <v>40</v>
      </c>
      <c r="L239" s="31" t="s">
        <v>42</v>
      </c>
      <c r="M239" s="22"/>
    </row>
    <row r="240" spans="1:13" s="21" customFormat="1" ht="15.75">
      <c r="A240" s="18"/>
      <c r="B240" s="18"/>
      <c r="C240" s="19" t="s">
        <v>9</v>
      </c>
      <c r="D240" s="20" t="s">
        <v>10</v>
      </c>
      <c r="E240" s="20" t="s">
        <v>11</v>
      </c>
      <c r="F240" s="20" t="s">
        <v>35</v>
      </c>
      <c r="G240" s="20" t="s">
        <v>37</v>
      </c>
      <c r="H240" s="20" t="s">
        <v>39</v>
      </c>
      <c r="I240" s="62" t="s">
        <v>114</v>
      </c>
      <c r="J240" s="62" t="s">
        <v>142</v>
      </c>
      <c r="K240" s="62" t="s">
        <v>116</v>
      </c>
      <c r="L240" s="32" t="s">
        <v>43</v>
      </c>
      <c r="M240" s="27"/>
    </row>
    <row r="241" spans="1:13" s="1" customFormat="1" ht="15.75">
      <c r="A241" s="12"/>
      <c r="B241" s="12"/>
      <c r="C241" s="12"/>
      <c r="D241" s="14"/>
      <c r="E241" s="14"/>
      <c r="F241" s="14"/>
      <c r="G241" s="14"/>
      <c r="H241" s="14"/>
      <c r="I241" s="48"/>
      <c r="J241" s="48"/>
      <c r="K241" s="48"/>
      <c r="L241" s="30"/>
      <c r="M241" s="22"/>
    </row>
    <row r="242" spans="1:13" s="13" customFormat="1" ht="15.75">
      <c r="A242" s="12">
        <v>1</v>
      </c>
      <c r="B242" s="12" t="s">
        <v>103</v>
      </c>
      <c r="C242" s="12" t="s">
        <v>7</v>
      </c>
      <c r="D242" s="14">
        <v>100</v>
      </c>
      <c r="E242" s="12" t="s">
        <v>21</v>
      </c>
      <c r="F242" s="14">
        <v>105</v>
      </c>
      <c r="G242" s="14">
        <f t="shared" ref="G242:G254" si="27">F242*D242/100</f>
        <v>105</v>
      </c>
      <c r="H242" s="14" t="s">
        <v>45</v>
      </c>
      <c r="I242" s="48">
        <f>89*50/90</f>
        <v>49.444444444444443</v>
      </c>
      <c r="J242" s="48">
        <v>25</v>
      </c>
      <c r="K242" s="48">
        <f t="shared" ref="K242:K243" si="28">SUM(I242:J242)</f>
        <v>74.444444444444443</v>
      </c>
      <c r="L242" s="30">
        <f>($H$256/$G$256*G242)/100*K242</f>
        <v>258.42982409337787</v>
      </c>
      <c r="M242" s="23"/>
    </row>
    <row r="243" spans="1:13" s="13" customFormat="1" ht="15.75">
      <c r="A243" s="12">
        <v>2</v>
      </c>
      <c r="B243" s="12" t="s">
        <v>110</v>
      </c>
      <c r="C243" s="12" t="s">
        <v>7</v>
      </c>
      <c r="D243" s="14">
        <v>51.58</v>
      </c>
      <c r="E243" s="12" t="s">
        <v>12</v>
      </c>
      <c r="F243" s="14">
        <v>113</v>
      </c>
      <c r="G243" s="14">
        <f t="shared" si="27"/>
        <v>58.285400000000003</v>
      </c>
      <c r="H243" s="14" t="s">
        <v>45</v>
      </c>
      <c r="I243" s="48">
        <f>100*50/100</f>
        <v>50</v>
      </c>
      <c r="J243" s="48">
        <v>50</v>
      </c>
      <c r="K243" s="48">
        <f t="shared" si="28"/>
        <v>100</v>
      </c>
      <c r="L243" s="30">
        <f t="shared" ref="L243:L254" si="29">($H$256/$G$256*G243)/100*K243</f>
        <v>192.69960344407889</v>
      </c>
      <c r="M243" s="22"/>
    </row>
    <row r="244" spans="1:13" s="13" customFormat="1" ht="15.75">
      <c r="A244" s="12">
        <v>3</v>
      </c>
      <c r="B244" s="12" t="s">
        <v>104</v>
      </c>
      <c r="C244" s="12" t="s">
        <v>6</v>
      </c>
      <c r="D244" s="14">
        <v>50</v>
      </c>
      <c r="E244" s="14" t="s">
        <v>20</v>
      </c>
      <c r="F244" s="14">
        <v>103</v>
      </c>
      <c r="G244" s="14">
        <f t="shared" si="27"/>
        <v>51.5</v>
      </c>
      <c r="H244" s="14" t="s">
        <v>45</v>
      </c>
      <c r="I244" s="48">
        <f>100*50/100</f>
        <v>50</v>
      </c>
      <c r="J244" s="48">
        <v>40</v>
      </c>
      <c r="K244" s="48">
        <f>SUM(I244:J244)</f>
        <v>90</v>
      </c>
      <c r="L244" s="30">
        <f t="shared" si="29"/>
        <v>153.23951829502855</v>
      </c>
      <c r="M244" s="22"/>
    </row>
    <row r="245" spans="1:13" s="13" customFormat="1" ht="15.75">
      <c r="A245" s="12">
        <v>4</v>
      </c>
      <c r="B245" s="12" t="s">
        <v>111</v>
      </c>
      <c r="C245" s="12" t="s">
        <v>7</v>
      </c>
      <c r="D245" s="14">
        <v>100</v>
      </c>
      <c r="E245" s="12" t="s">
        <v>12</v>
      </c>
      <c r="F245" s="14">
        <v>113</v>
      </c>
      <c r="G245" s="14">
        <f t="shared" si="27"/>
        <v>113</v>
      </c>
      <c r="H245" s="14" t="s">
        <v>45</v>
      </c>
      <c r="I245" s="48">
        <v>50</v>
      </c>
      <c r="J245" s="48">
        <v>50</v>
      </c>
      <c r="K245" s="48">
        <f t="shared" ref="K245:K254" si="30">SUM(I245:J245)</f>
        <v>100</v>
      </c>
      <c r="L245" s="30">
        <f t="shared" si="29"/>
        <v>373.59364762326265</v>
      </c>
      <c r="M245" s="22"/>
    </row>
    <row r="246" spans="1:13" s="46" customFormat="1" ht="15.75">
      <c r="A246" s="12">
        <v>5</v>
      </c>
      <c r="B246" s="12" t="s">
        <v>212</v>
      </c>
      <c r="C246" s="12" t="s">
        <v>6</v>
      </c>
      <c r="D246" s="14">
        <v>50</v>
      </c>
      <c r="E246" s="14" t="s">
        <v>12</v>
      </c>
      <c r="F246" s="14">
        <v>113</v>
      </c>
      <c r="G246" s="14">
        <f t="shared" si="27"/>
        <v>56.5</v>
      </c>
      <c r="H246" s="14" t="s">
        <v>45</v>
      </c>
      <c r="I246" s="48">
        <f>60*50/90</f>
        <v>33.333333333333336</v>
      </c>
      <c r="J246" s="48">
        <v>15</v>
      </c>
      <c r="K246" s="48">
        <f t="shared" si="30"/>
        <v>48.333333333333336</v>
      </c>
      <c r="L246" s="30">
        <f t="shared" si="29"/>
        <v>90.285131508955146</v>
      </c>
      <c r="M246" s="27"/>
    </row>
    <row r="247" spans="1:13" s="13" customFormat="1" ht="15.75">
      <c r="A247" s="12">
        <v>6</v>
      </c>
      <c r="B247" s="12" t="s">
        <v>105</v>
      </c>
      <c r="C247" s="12" t="s">
        <v>7</v>
      </c>
      <c r="D247" s="14">
        <v>100</v>
      </c>
      <c r="E247" s="14" t="s">
        <v>2</v>
      </c>
      <c r="F247" s="14">
        <v>112</v>
      </c>
      <c r="G247" s="14">
        <f t="shared" si="27"/>
        <v>112</v>
      </c>
      <c r="H247" s="14" t="s">
        <v>45</v>
      </c>
      <c r="I247" s="48">
        <f>90*50/90</f>
        <v>50</v>
      </c>
      <c r="J247" s="48">
        <v>40</v>
      </c>
      <c r="K247" s="48">
        <f t="shared" si="30"/>
        <v>90</v>
      </c>
      <c r="L247" s="30">
        <f t="shared" si="29"/>
        <v>333.25875823384848</v>
      </c>
      <c r="M247" s="23"/>
    </row>
    <row r="248" spans="1:13" s="13" customFormat="1" ht="15.75">
      <c r="A248" s="12">
        <v>7</v>
      </c>
      <c r="B248" s="12" t="s">
        <v>113</v>
      </c>
      <c r="C248" s="12" t="s">
        <v>7</v>
      </c>
      <c r="D248" s="14">
        <v>29.16</v>
      </c>
      <c r="E248" s="12" t="s">
        <v>18</v>
      </c>
      <c r="F248" s="14">
        <v>117</v>
      </c>
      <c r="G248" s="14">
        <f t="shared" si="27"/>
        <v>34.117199999999997</v>
      </c>
      <c r="H248" s="14" t="s">
        <v>45</v>
      </c>
      <c r="I248" s="48">
        <f>100*50/100</f>
        <v>50</v>
      </c>
      <c r="J248" s="48">
        <v>25</v>
      </c>
      <c r="K248" s="48">
        <f t="shared" si="30"/>
        <v>75</v>
      </c>
      <c r="L248" s="30">
        <f t="shared" si="29"/>
        <v>84.597140672737012</v>
      </c>
      <c r="M248" s="23"/>
    </row>
    <row r="249" spans="1:13" s="13" customFormat="1" ht="15.75">
      <c r="A249" s="12">
        <v>8</v>
      </c>
      <c r="B249" s="12" t="s">
        <v>109</v>
      </c>
      <c r="C249" s="41" t="s">
        <v>226</v>
      </c>
      <c r="D249" s="14">
        <v>65.28</v>
      </c>
      <c r="E249" s="12" t="s">
        <v>12</v>
      </c>
      <c r="F249" s="14">
        <v>113</v>
      </c>
      <c r="G249" s="14">
        <f t="shared" si="27"/>
        <v>73.766400000000004</v>
      </c>
      <c r="H249" s="14" t="s">
        <v>45</v>
      </c>
      <c r="I249" s="48">
        <f>90*50/90</f>
        <v>50</v>
      </c>
      <c r="J249" s="48">
        <v>0</v>
      </c>
      <c r="K249" s="48">
        <f t="shared" si="30"/>
        <v>50</v>
      </c>
      <c r="L249" s="30">
        <f t="shared" si="29"/>
        <v>121.94096658423294</v>
      </c>
      <c r="M249" s="23"/>
    </row>
    <row r="250" spans="1:13" s="13" customFormat="1" ht="15.75">
      <c r="A250" s="12">
        <v>9</v>
      </c>
      <c r="B250" s="12" t="s">
        <v>213</v>
      </c>
      <c r="C250" s="12" t="s">
        <v>7</v>
      </c>
      <c r="D250" s="14">
        <v>100</v>
      </c>
      <c r="E250" s="12" t="s">
        <v>21</v>
      </c>
      <c r="F250" s="14">
        <v>105</v>
      </c>
      <c r="G250" s="14">
        <f t="shared" si="27"/>
        <v>105</v>
      </c>
      <c r="H250" s="14" t="s">
        <v>45</v>
      </c>
      <c r="I250" s="48">
        <f>94*50/100</f>
        <v>47</v>
      </c>
      <c r="J250" s="48">
        <v>40</v>
      </c>
      <c r="K250" s="48">
        <f t="shared" si="30"/>
        <v>87</v>
      </c>
      <c r="L250" s="30">
        <f t="shared" si="29"/>
        <v>302.01574964942517</v>
      </c>
      <c r="M250" s="23"/>
    </row>
    <row r="251" spans="1:13" s="13" customFormat="1" ht="15.75">
      <c r="A251" s="12">
        <v>10</v>
      </c>
      <c r="B251" s="12" t="s">
        <v>106</v>
      </c>
      <c r="C251" s="12" t="s">
        <v>5</v>
      </c>
      <c r="D251" s="14">
        <f>100/6*5</f>
        <v>83.333333333333343</v>
      </c>
      <c r="E251" s="14" t="s">
        <v>21</v>
      </c>
      <c r="F251" s="14">
        <v>105</v>
      </c>
      <c r="G251" s="14">
        <f t="shared" si="27"/>
        <v>87.500000000000014</v>
      </c>
      <c r="H251" s="14" t="s">
        <v>45</v>
      </c>
      <c r="I251" s="48">
        <f>100*50/100</f>
        <v>50</v>
      </c>
      <c r="J251" s="48">
        <v>40</v>
      </c>
      <c r="K251" s="48">
        <f t="shared" si="30"/>
        <v>90</v>
      </c>
      <c r="L251" s="30">
        <f t="shared" si="29"/>
        <v>260.35840487019414</v>
      </c>
      <c r="M251" s="23"/>
    </row>
    <row r="252" spans="1:13" s="13" customFormat="1" ht="15.75">
      <c r="A252" s="12">
        <v>11</v>
      </c>
      <c r="B252" s="12" t="s">
        <v>107</v>
      </c>
      <c r="C252" s="12" t="s">
        <v>7</v>
      </c>
      <c r="D252" s="14">
        <v>100</v>
      </c>
      <c r="E252" s="12" t="s">
        <v>21</v>
      </c>
      <c r="F252" s="14">
        <v>105</v>
      </c>
      <c r="G252" s="14">
        <f t="shared" si="27"/>
        <v>105</v>
      </c>
      <c r="H252" s="14" t="s">
        <v>45</v>
      </c>
      <c r="I252" s="48">
        <f>96*50/100</f>
        <v>48</v>
      </c>
      <c r="J252" s="48">
        <v>50</v>
      </c>
      <c r="K252" s="48">
        <f t="shared" si="30"/>
        <v>98</v>
      </c>
      <c r="L252" s="30">
        <f t="shared" si="29"/>
        <v>340.20164903038699</v>
      </c>
      <c r="M252" s="23"/>
    </row>
    <row r="253" spans="1:13" s="13" customFormat="1" ht="15.75">
      <c r="A253" s="12">
        <v>12</v>
      </c>
      <c r="B253" s="12" t="s">
        <v>65</v>
      </c>
      <c r="C253" s="12" t="s">
        <v>7</v>
      </c>
      <c r="D253" s="14">
        <v>100</v>
      </c>
      <c r="E253" s="12" t="s">
        <v>12</v>
      </c>
      <c r="F253" s="14">
        <v>113</v>
      </c>
      <c r="G253" s="14">
        <f t="shared" si="27"/>
        <v>113</v>
      </c>
      <c r="H253" s="14" t="s">
        <v>45</v>
      </c>
      <c r="I253" s="48">
        <f>90*50/100</f>
        <v>45</v>
      </c>
      <c r="J253" s="48">
        <v>15</v>
      </c>
      <c r="K253" s="48">
        <f t="shared" si="30"/>
        <v>60</v>
      </c>
      <c r="L253" s="30">
        <f t="shared" si="29"/>
        <v>224.15618857395759</v>
      </c>
      <c r="M253" s="23"/>
    </row>
    <row r="254" spans="1:13" s="13" customFormat="1" ht="15.75">
      <c r="A254" s="12">
        <v>13</v>
      </c>
      <c r="B254" s="12" t="s">
        <v>112</v>
      </c>
      <c r="C254" s="12" t="s">
        <v>7</v>
      </c>
      <c r="D254" s="14">
        <v>100</v>
      </c>
      <c r="E254" s="12" t="s">
        <v>12</v>
      </c>
      <c r="F254" s="14">
        <v>113</v>
      </c>
      <c r="G254" s="14">
        <f t="shared" si="27"/>
        <v>113</v>
      </c>
      <c r="H254" s="14" t="s">
        <v>45</v>
      </c>
      <c r="I254" s="48">
        <f>100*50/100</f>
        <v>50</v>
      </c>
      <c r="J254" s="48">
        <v>50</v>
      </c>
      <c r="K254" s="48">
        <f t="shared" si="30"/>
        <v>100</v>
      </c>
      <c r="L254" s="30">
        <f t="shared" si="29"/>
        <v>373.59364762326265</v>
      </c>
      <c r="M254" s="23"/>
    </row>
    <row r="255" spans="1:13" s="1" customFormat="1" ht="15.75">
      <c r="A255" s="12"/>
      <c r="B255" s="12"/>
      <c r="C255" s="12"/>
      <c r="D255" s="14"/>
      <c r="E255" s="14"/>
      <c r="F255" s="14"/>
      <c r="G255" s="14"/>
      <c r="H255" s="14"/>
      <c r="I255" s="48"/>
      <c r="J255" s="48"/>
      <c r="K255" s="48"/>
      <c r="L255" s="30"/>
      <c r="M255" s="22"/>
    </row>
    <row r="256" spans="1:13" s="15" customFormat="1" ht="15.75">
      <c r="A256" s="16"/>
      <c r="B256" s="16"/>
      <c r="C256" s="16"/>
      <c r="D256" s="37">
        <f>SUM(D242:D255)</f>
        <v>1029.3533333333335</v>
      </c>
      <c r="E256" s="24"/>
      <c r="F256" s="37">
        <f>SUM(F242:F255)</f>
        <v>1430</v>
      </c>
      <c r="G256" s="37">
        <f>SUM(G242:G255)</f>
        <v>1127.6689999999999</v>
      </c>
      <c r="H256" s="38">
        <f>G281/G279*G256</f>
        <v>3728.2298674484687</v>
      </c>
      <c r="I256" s="59"/>
      <c r="J256" s="59"/>
      <c r="K256" s="59"/>
      <c r="L256" s="33"/>
      <c r="M256" s="26"/>
    </row>
    <row r="257" spans="1:13" s="15" customFormat="1" ht="15.75">
      <c r="A257" s="16"/>
      <c r="B257" s="16"/>
      <c r="C257" s="16"/>
      <c r="D257" s="24"/>
      <c r="E257" s="24"/>
      <c r="F257" s="24"/>
      <c r="G257" s="24"/>
      <c r="H257" s="24"/>
      <c r="I257" s="60">
        <f>SUM(I242:I256)</f>
        <v>622.77777777777783</v>
      </c>
      <c r="J257" s="59"/>
      <c r="K257" s="60">
        <f>SUM(K242:K256)</f>
        <v>1062.7777777777778</v>
      </c>
      <c r="L257" s="33"/>
      <c r="M257" s="26"/>
    </row>
    <row r="258" spans="1:13" s="15" customFormat="1" ht="15.75">
      <c r="A258" s="16"/>
      <c r="B258" s="16"/>
      <c r="C258" s="16"/>
      <c r="D258" s="24"/>
      <c r="E258" s="24"/>
      <c r="F258" s="24"/>
      <c r="G258" s="24"/>
      <c r="H258" s="24"/>
      <c r="I258" s="59">
        <f>50*13</f>
        <v>650</v>
      </c>
      <c r="J258" s="59"/>
      <c r="K258" s="59"/>
      <c r="L258" s="33"/>
      <c r="M258" s="26"/>
    </row>
    <row r="259" spans="1:13" s="15" customFormat="1" ht="15.75">
      <c r="A259" s="16"/>
      <c r="B259" s="16"/>
      <c r="C259" s="16"/>
      <c r="D259" s="24"/>
      <c r="E259" s="24"/>
      <c r="F259" s="24"/>
      <c r="G259" s="24"/>
      <c r="H259" s="24"/>
      <c r="I259" s="59"/>
      <c r="J259" s="59"/>
      <c r="K259" s="59"/>
      <c r="L259" s="38">
        <f>SUM(L242:L258)</f>
        <v>3108.3702302027477</v>
      </c>
      <c r="M259" s="26"/>
    </row>
    <row r="260" spans="1:13" s="15" customFormat="1" ht="15.75">
      <c r="A260" s="16"/>
      <c r="B260" s="16"/>
      <c r="C260" s="16"/>
      <c r="D260" s="24"/>
      <c r="E260" s="24"/>
      <c r="F260" s="24"/>
      <c r="G260" s="24"/>
      <c r="H260" s="24"/>
      <c r="I260" s="59"/>
      <c r="J260" s="59"/>
      <c r="K260" s="59"/>
      <c r="L260" s="33">
        <f>H256-L259</f>
        <v>619.85963724572093</v>
      </c>
      <c r="M260" s="26"/>
    </row>
    <row r="261" spans="1:13" s="15" customFormat="1" ht="15.75">
      <c r="A261" s="16"/>
      <c r="B261" s="16"/>
      <c r="C261" s="16"/>
      <c r="D261" s="24"/>
      <c r="E261" s="24"/>
      <c r="F261" s="24"/>
      <c r="G261" s="24"/>
      <c r="H261" s="24"/>
      <c r="I261" s="59"/>
      <c r="J261" s="59"/>
      <c r="K261" s="59"/>
      <c r="L261" s="33"/>
      <c r="M261" s="26"/>
    </row>
    <row r="262" spans="1:13" s="15" customFormat="1" ht="15.75">
      <c r="A262" s="16"/>
      <c r="B262" s="16"/>
      <c r="C262" s="16"/>
      <c r="D262" s="24"/>
      <c r="E262" s="24"/>
      <c r="F262" s="24"/>
      <c r="G262" s="24"/>
      <c r="H262" s="24"/>
      <c r="I262" s="59"/>
      <c r="J262" s="59"/>
      <c r="K262" s="59"/>
      <c r="L262" s="33"/>
      <c r="M262" s="26"/>
    </row>
    <row r="263" spans="1:13" s="15" customFormat="1" ht="15.75">
      <c r="A263" s="12"/>
      <c r="B263" s="12"/>
      <c r="C263" s="12"/>
      <c r="D263" s="14"/>
      <c r="E263" s="14"/>
      <c r="F263" s="14"/>
      <c r="G263" s="17" t="s">
        <v>36</v>
      </c>
      <c r="H263" s="17" t="s">
        <v>38</v>
      </c>
      <c r="I263" s="61" t="s">
        <v>40</v>
      </c>
      <c r="J263" s="61" t="s">
        <v>40</v>
      </c>
      <c r="K263" s="61" t="s">
        <v>40</v>
      </c>
      <c r="L263" s="31" t="s">
        <v>42</v>
      </c>
      <c r="M263" s="26"/>
    </row>
    <row r="264" spans="1:13" s="15" customFormat="1" ht="15.75">
      <c r="A264" s="18"/>
      <c r="B264" s="18"/>
      <c r="C264" s="19" t="s">
        <v>9</v>
      </c>
      <c r="D264" s="20" t="s">
        <v>10</v>
      </c>
      <c r="E264" s="20" t="s">
        <v>11</v>
      </c>
      <c r="F264" s="20" t="s">
        <v>35</v>
      </c>
      <c r="G264" s="20" t="s">
        <v>37</v>
      </c>
      <c r="H264" s="20" t="s">
        <v>39</v>
      </c>
      <c r="I264" s="62" t="s">
        <v>114</v>
      </c>
      <c r="J264" s="62" t="s">
        <v>142</v>
      </c>
      <c r="K264" s="62" t="s">
        <v>116</v>
      </c>
      <c r="L264" s="32" t="s">
        <v>43</v>
      </c>
      <c r="M264" s="26"/>
    </row>
    <row r="265" spans="1:13" s="15" customFormat="1" ht="15.75">
      <c r="A265" s="12"/>
      <c r="B265" s="12"/>
      <c r="C265" s="12"/>
      <c r="D265" s="14"/>
      <c r="E265" s="14"/>
      <c r="F265" s="14"/>
      <c r="G265" s="14"/>
      <c r="H265" s="14"/>
      <c r="I265" s="48"/>
      <c r="J265" s="48"/>
      <c r="K265" s="48"/>
      <c r="L265" s="30"/>
      <c r="M265" s="26"/>
    </row>
    <row r="266" spans="1:13" s="15" customFormat="1" ht="15.75">
      <c r="A266" s="12">
        <v>1</v>
      </c>
      <c r="B266" s="12" t="s">
        <v>217</v>
      </c>
      <c r="C266" s="47" t="s">
        <v>215</v>
      </c>
      <c r="D266" s="14">
        <v>22.22</v>
      </c>
      <c r="E266" s="12" t="s">
        <v>0</v>
      </c>
      <c r="F266" s="14">
        <v>130</v>
      </c>
      <c r="G266" s="14">
        <f t="shared" ref="G266:G268" si="31">F266*D266/100</f>
        <v>28.885999999999999</v>
      </c>
      <c r="H266" s="14" t="s">
        <v>216</v>
      </c>
      <c r="I266" s="48">
        <f>78*50/100</f>
        <v>39</v>
      </c>
      <c r="J266" s="48">
        <v>50</v>
      </c>
      <c r="K266" s="48">
        <f t="shared" ref="K266:K267" si="32">SUM(I266:J266)</f>
        <v>89</v>
      </c>
      <c r="L266" s="30">
        <f>($H$270/$G$270*G266)/100*K266</f>
        <v>84.995993218305784</v>
      </c>
      <c r="M266" s="26"/>
    </row>
    <row r="267" spans="1:13" s="13" customFormat="1" ht="15.75">
      <c r="A267" s="12">
        <v>2</v>
      </c>
      <c r="B267" s="12" t="s">
        <v>99</v>
      </c>
      <c r="C267" s="47" t="s">
        <v>7</v>
      </c>
      <c r="D267" s="14">
        <v>100</v>
      </c>
      <c r="E267" s="14" t="s">
        <v>17</v>
      </c>
      <c r="F267" s="14">
        <v>134</v>
      </c>
      <c r="G267" s="14">
        <f t="shared" si="31"/>
        <v>134</v>
      </c>
      <c r="H267" s="14" t="s">
        <v>207</v>
      </c>
      <c r="I267" s="48">
        <f>93*50/100</f>
        <v>46.5</v>
      </c>
      <c r="J267" s="48">
        <v>50</v>
      </c>
      <c r="K267" s="48">
        <f t="shared" si="32"/>
        <v>96.5</v>
      </c>
      <c r="L267" s="30">
        <f t="shared" ref="L267:L268" si="33">($H$270/$G$270*G267)/100*K267</f>
        <v>427.51676614304506</v>
      </c>
      <c r="M267" s="22"/>
    </row>
    <row r="268" spans="1:13" s="13" customFormat="1" ht="15.75">
      <c r="A268" s="12">
        <v>3</v>
      </c>
      <c r="B268" s="12" t="s">
        <v>84</v>
      </c>
      <c r="C268" s="40" t="s">
        <v>7</v>
      </c>
      <c r="D268" s="14">
        <v>100</v>
      </c>
      <c r="E268" s="14" t="s">
        <v>0</v>
      </c>
      <c r="F268" s="14">
        <v>130</v>
      </c>
      <c r="G268" s="14">
        <f t="shared" si="31"/>
        <v>130</v>
      </c>
      <c r="H268" s="14" t="s">
        <v>216</v>
      </c>
      <c r="I268" s="48">
        <v>0</v>
      </c>
      <c r="J268" s="48">
        <v>0</v>
      </c>
      <c r="K268" s="48">
        <f>SUM(I268:J268)</f>
        <v>0</v>
      </c>
      <c r="L268" s="30">
        <f t="shared" si="33"/>
        <v>0</v>
      </c>
      <c r="M268" s="22"/>
    </row>
    <row r="269" spans="1:13" s="1" customFormat="1" ht="15.75">
      <c r="A269" s="12"/>
      <c r="B269" s="12"/>
      <c r="C269" s="40"/>
      <c r="D269" s="14"/>
      <c r="E269" s="14"/>
      <c r="F269" s="14"/>
      <c r="G269" s="14"/>
      <c r="H269" s="14"/>
      <c r="I269" s="48"/>
      <c r="J269" s="48"/>
      <c r="K269" s="48"/>
      <c r="L269" s="30"/>
      <c r="M269" s="22"/>
    </row>
    <row r="270" spans="1:13" s="1" customFormat="1" ht="15.75">
      <c r="A270" s="12"/>
      <c r="B270" s="12"/>
      <c r="C270" s="16"/>
      <c r="D270" s="37">
        <f>SUM(D266:D269)</f>
        <v>222.22</v>
      </c>
      <c r="E270" s="24"/>
      <c r="F270" s="37">
        <f>SUM(F266:F269)</f>
        <v>394</v>
      </c>
      <c r="G270" s="37">
        <f>SUM(G266:G269)</f>
        <v>292.88599999999997</v>
      </c>
      <c r="H270" s="38">
        <f>G281/G279*G270</f>
        <v>968.32167325475132</v>
      </c>
      <c r="I270" s="59"/>
      <c r="J270" s="59"/>
      <c r="K270" s="59"/>
      <c r="L270" s="33"/>
      <c r="M270" s="22"/>
    </row>
    <row r="271" spans="1:13" s="1" customFormat="1" ht="15.75">
      <c r="A271" s="12"/>
      <c r="B271" s="12"/>
      <c r="C271" s="16"/>
      <c r="D271" s="24"/>
      <c r="E271" s="24"/>
      <c r="F271" s="24"/>
      <c r="G271" s="24"/>
      <c r="H271" s="24"/>
      <c r="I271" s="60">
        <f>SUM(I266:I270)</f>
        <v>85.5</v>
      </c>
      <c r="J271" s="59"/>
      <c r="K271" s="60">
        <f>SUM(K266:K270)</f>
        <v>185.5</v>
      </c>
      <c r="L271" s="33"/>
      <c r="M271" s="22"/>
    </row>
    <row r="272" spans="1:13" s="1" customFormat="1" ht="15.75">
      <c r="A272" s="12"/>
      <c r="B272" s="12"/>
      <c r="C272" s="16"/>
      <c r="D272" s="24"/>
      <c r="E272" s="24"/>
      <c r="F272" s="24"/>
      <c r="G272" s="24"/>
      <c r="H272" s="24"/>
      <c r="I272" s="59">
        <f>50*3</f>
        <v>150</v>
      </c>
      <c r="J272" s="59"/>
      <c r="K272" s="59"/>
      <c r="L272" s="33"/>
      <c r="M272" s="22"/>
    </row>
    <row r="273" spans="1:13" s="1" customFormat="1" ht="15.75">
      <c r="A273" s="12"/>
      <c r="B273" s="12"/>
      <c r="C273" s="16"/>
      <c r="D273" s="24"/>
      <c r="E273" s="24"/>
      <c r="F273" s="24"/>
      <c r="G273" s="24"/>
      <c r="H273" s="24"/>
      <c r="I273" s="59"/>
      <c r="J273" s="59"/>
      <c r="K273" s="59"/>
      <c r="L273" s="38">
        <f>SUM(L266:L272)</f>
        <v>512.51275936135085</v>
      </c>
      <c r="M273" s="22"/>
    </row>
    <row r="274" spans="1:13" s="1" customFormat="1" ht="15.75">
      <c r="A274" s="12"/>
      <c r="B274" s="12"/>
      <c r="C274" s="16"/>
      <c r="D274" s="24"/>
      <c r="E274" s="24"/>
      <c r="F274" s="24"/>
      <c r="G274" s="24"/>
      <c r="H274" s="24"/>
      <c r="I274" s="59"/>
      <c r="J274" s="59"/>
      <c r="K274" s="59"/>
      <c r="L274" s="33">
        <f>H270-L273</f>
        <v>455.80891389340047</v>
      </c>
      <c r="M274" s="22"/>
    </row>
    <row r="275" spans="1:13" s="1" customFormat="1" ht="15.75">
      <c r="A275" s="12"/>
      <c r="B275" s="12"/>
      <c r="C275" s="40"/>
      <c r="D275" s="14"/>
      <c r="E275" s="14"/>
      <c r="F275" s="14"/>
      <c r="G275" s="14"/>
      <c r="H275" s="14"/>
      <c r="I275" s="48"/>
      <c r="J275" s="48"/>
      <c r="K275" s="48"/>
      <c r="L275" s="30"/>
      <c r="M275" s="22"/>
    </row>
    <row r="276" spans="1:13" s="1" customFormat="1" ht="15.75">
      <c r="A276" s="12"/>
      <c r="B276" s="12"/>
      <c r="C276" s="40"/>
      <c r="D276" s="14"/>
      <c r="E276" s="14"/>
      <c r="F276" s="14"/>
      <c r="G276" s="14"/>
      <c r="H276" s="14"/>
      <c r="I276" s="48"/>
      <c r="J276" s="48"/>
      <c r="K276" s="48"/>
      <c r="L276" s="30"/>
      <c r="M276" s="22"/>
    </row>
    <row r="277" spans="1:13" s="1" customFormat="1" ht="15.75">
      <c r="A277" s="12"/>
      <c r="B277" s="12"/>
      <c r="C277" s="40"/>
      <c r="D277" s="14"/>
      <c r="E277" s="14"/>
      <c r="F277" s="14"/>
      <c r="G277" s="14"/>
      <c r="H277" s="14"/>
      <c r="I277" s="48"/>
      <c r="J277" s="48"/>
      <c r="K277" s="48"/>
      <c r="L277" s="30"/>
      <c r="M277" s="22"/>
    </row>
    <row r="278" spans="1:13" s="1" customFormat="1" ht="15.75">
      <c r="A278" s="12"/>
      <c r="B278" s="12"/>
      <c r="C278" s="12"/>
      <c r="D278" s="14"/>
      <c r="E278" s="14"/>
      <c r="F278" s="14"/>
      <c r="G278" s="14"/>
      <c r="H278" s="14"/>
      <c r="I278" s="48"/>
      <c r="J278" s="48"/>
      <c r="K278" s="48"/>
      <c r="L278" s="30"/>
      <c r="M278" s="22"/>
    </row>
    <row r="279" spans="1:13" s="25" customFormat="1" ht="15.75">
      <c r="A279" s="16"/>
      <c r="B279" s="16"/>
      <c r="C279" s="16"/>
      <c r="D279" s="24"/>
      <c r="E279" s="24"/>
      <c r="F279" s="24"/>
      <c r="G279" s="24">
        <f>G108+G140+G153+G169+G185+G212+G232+G256+G270</f>
        <v>16786.955666666669</v>
      </c>
      <c r="H279" s="24"/>
      <c r="I279" s="59"/>
      <c r="J279" s="59"/>
      <c r="K279" s="59"/>
      <c r="L279" s="33"/>
      <c r="M279" s="26"/>
    </row>
    <row r="280" spans="1:13" s="1" customFormat="1" ht="16.5" thickBot="1">
      <c r="A280" s="12"/>
      <c r="B280" s="12"/>
      <c r="C280" s="12"/>
      <c r="D280" s="14"/>
      <c r="E280" s="14"/>
      <c r="F280" s="14"/>
      <c r="G280" s="14"/>
      <c r="H280" s="14"/>
      <c r="I280" s="48"/>
      <c r="J280" s="48"/>
      <c r="K280" s="48"/>
      <c r="L280" s="30"/>
      <c r="M280" s="22"/>
    </row>
    <row r="281" spans="1:13" s="15" customFormat="1" ht="16.5" thickBot="1">
      <c r="A281" s="16"/>
      <c r="B281" s="16"/>
      <c r="C281" s="16"/>
      <c r="D281" s="24"/>
      <c r="E281" s="24"/>
      <c r="F281" s="24"/>
      <c r="G281" s="35">
        <v>55500</v>
      </c>
      <c r="H281" s="38">
        <f>H108+H140+H153+H169+H185+H212+H232+H256+H270</f>
        <v>55499.999999999993</v>
      </c>
      <c r="I281" s="59"/>
      <c r="J281" s="59"/>
      <c r="K281" s="59"/>
      <c r="L281" s="33"/>
      <c r="M281" s="26"/>
    </row>
    <row r="282" spans="1:13" s="1" customFormat="1" ht="15.75">
      <c r="A282" s="12"/>
      <c r="B282" s="12"/>
      <c r="C282" s="12"/>
      <c r="D282" s="14"/>
      <c r="E282" s="14"/>
      <c r="F282" s="14"/>
      <c r="G282" s="14"/>
      <c r="H282" s="14"/>
      <c r="I282" s="48"/>
      <c r="J282" s="48"/>
      <c r="K282" s="48"/>
      <c r="L282" s="30"/>
      <c r="M282" s="22"/>
    </row>
    <row r="283" spans="1:13" s="25" customFormat="1" ht="15.75">
      <c r="A283" s="16"/>
      <c r="B283" s="16"/>
      <c r="C283" s="16"/>
      <c r="D283" s="24"/>
      <c r="E283" s="24"/>
      <c r="F283" s="24"/>
      <c r="G283" s="24"/>
      <c r="H283" s="24"/>
      <c r="I283" s="59"/>
      <c r="J283" s="59"/>
      <c r="K283" s="59"/>
      <c r="L283" s="33">
        <f>L111+L143+L156+L172+L188+L215+L235+L259+L273</f>
        <v>44275.049757400586</v>
      </c>
      <c r="M283" s="26"/>
    </row>
    <row r="284" spans="1:13" s="25" customFormat="1" ht="15.75">
      <c r="A284" s="16"/>
      <c r="B284" s="16"/>
      <c r="C284" s="16"/>
      <c r="D284" s="24"/>
      <c r="E284" s="24"/>
      <c r="F284" s="24"/>
      <c r="G284" s="24"/>
      <c r="H284" s="24"/>
      <c r="I284" s="59"/>
      <c r="J284" s="59"/>
      <c r="K284" s="59"/>
      <c r="L284" s="33"/>
      <c r="M284" s="26"/>
    </row>
    <row r="285" spans="1:13" s="1" customFormat="1" ht="15.75">
      <c r="A285" s="12"/>
      <c r="B285" s="12"/>
      <c r="C285" s="12"/>
      <c r="D285" s="14"/>
      <c r="E285" s="14"/>
      <c r="F285" s="14"/>
      <c r="G285" s="14"/>
      <c r="H285" s="14"/>
      <c r="I285" s="48"/>
      <c r="J285" s="48"/>
      <c r="K285" s="48"/>
      <c r="L285" s="30"/>
      <c r="M285" s="22"/>
    </row>
    <row r="297" spans="3:3" ht="37.5" customHeight="1">
      <c r="C297" s="39"/>
    </row>
    <row r="298" spans="3:3" ht="26.25">
      <c r="C298" s="39"/>
    </row>
    <row r="299" spans="3:3" ht="26.25">
      <c r="C299" s="39"/>
    </row>
    <row r="300" spans="3:3" ht="26.25">
      <c r="C300" s="39"/>
    </row>
  </sheetData>
  <printOptions gridLines="1"/>
  <pageMargins left="0.7" right="0.7" top="0.75" bottom="0.75" header="0.3" footer="0.3"/>
  <pageSetup paperSize="9" scale="68" orientation="landscape" r:id="rId1"/>
  <ignoredErrors>
    <ignoredError sqref="L196 I18 I29 I33 I124 I248 I51 I54:I55 F165 I164 I2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C27" sqref="C27"/>
    </sheetView>
  </sheetViews>
  <sheetFormatPr defaultRowHeight="15"/>
  <cols>
    <col min="1" max="1" width="12.7109375" style="4" customWidth="1"/>
    <col min="2" max="2" width="22.5703125" style="6" customWidth="1"/>
    <col min="3" max="3" width="15.28515625" style="6" customWidth="1"/>
  </cols>
  <sheetData>
    <row r="1" spans="1:3" s="1" customFormat="1" ht="15.75">
      <c r="A1" s="9" t="s">
        <v>22</v>
      </c>
      <c r="B1" s="8"/>
      <c r="C1" s="8"/>
    </row>
    <row r="2" spans="1:3" s="1" customFormat="1" ht="15.75">
      <c r="A2" s="5"/>
      <c r="B2" s="8"/>
      <c r="C2" s="8"/>
    </row>
    <row r="3" spans="1:3" s="1" customFormat="1" ht="15.75">
      <c r="A3" s="5"/>
      <c r="B3" s="8"/>
      <c r="C3" s="8"/>
    </row>
    <row r="4" spans="1:3" s="1" customFormat="1" ht="15.75">
      <c r="A4" s="9" t="s">
        <v>23</v>
      </c>
      <c r="B4" s="8"/>
      <c r="C4" s="8"/>
    </row>
    <row r="5" spans="1:3" s="1" customFormat="1" ht="15.75">
      <c r="A5" s="5"/>
      <c r="B5" s="8"/>
      <c r="C5" s="8"/>
    </row>
    <row r="6" spans="1:3" s="1" customFormat="1" ht="15.75">
      <c r="A6" s="5"/>
      <c r="B6" s="8"/>
      <c r="C6" s="8"/>
    </row>
    <row r="7" spans="1:3" s="1" customFormat="1" ht="15.75">
      <c r="A7" s="2" t="s">
        <v>24</v>
      </c>
      <c r="B7" s="3" t="s">
        <v>25</v>
      </c>
      <c r="C7" s="3" t="s">
        <v>26</v>
      </c>
    </row>
    <row r="8" spans="1:3" s="1" customFormat="1" ht="15.75">
      <c r="A8" s="5"/>
      <c r="B8" s="8"/>
      <c r="C8" s="8"/>
    </row>
    <row r="9" spans="1:3" s="1" customFormat="1" ht="15.75">
      <c r="A9" s="5" t="s">
        <v>4</v>
      </c>
      <c r="B9" s="8">
        <v>16314.57</v>
      </c>
      <c r="C9" s="8">
        <v>100</v>
      </c>
    </row>
    <row r="10" spans="1:3" s="1" customFormat="1" ht="15.75">
      <c r="A10" s="5" t="s">
        <v>27</v>
      </c>
      <c r="B10" s="8">
        <v>16533.95</v>
      </c>
      <c r="C10" s="8">
        <f>((B10-B9)/B9)*100+100</f>
        <v>101.34468760132815</v>
      </c>
    </row>
    <row r="11" spans="1:3" s="1" customFormat="1" ht="15.75">
      <c r="A11" s="5" t="s">
        <v>20</v>
      </c>
      <c r="B11" s="8">
        <v>16884.36</v>
      </c>
      <c r="C11" s="8">
        <f>((B11-B9)/B9)*100+100</f>
        <v>103.49252232820112</v>
      </c>
    </row>
    <row r="12" spans="1:3" s="1" customFormat="1" ht="15.75">
      <c r="A12" s="5" t="s">
        <v>21</v>
      </c>
      <c r="B12" s="8">
        <v>17184.060000000001</v>
      </c>
      <c r="C12" s="8">
        <f>((B12-B9)/B9)*100+100</f>
        <v>105.3295305974966</v>
      </c>
    </row>
    <row r="13" spans="1:3" s="1" customFormat="1" ht="15.75">
      <c r="A13" s="5" t="s">
        <v>28</v>
      </c>
      <c r="B13" s="8">
        <v>17539.650000000001</v>
      </c>
      <c r="C13" s="8">
        <f>((B13-B9)/B9)*100+100</f>
        <v>107.50911608457962</v>
      </c>
    </row>
    <row r="14" spans="1:3" s="1" customFormat="1" ht="15.75">
      <c r="A14" s="5" t="s">
        <v>3</v>
      </c>
      <c r="B14" s="8">
        <v>17244.71</v>
      </c>
      <c r="C14" s="8">
        <f>((B14-B9)/B9)*100+100</f>
        <v>105.70128418953119</v>
      </c>
    </row>
    <row r="15" spans="1:3" s="1" customFormat="1" ht="15.75">
      <c r="A15" s="5" t="s">
        <v>29</v>
      </c>
      <c r="B15" s="8">
        <v>17531.61</v>
      </c>
      <c r="C15" s="8">
        <f>((B15-B9)/B9)*100+100</f>
        <v>107.45983498185979</v>
      </c>
    </row>
    <row r="16" spans="1:3" s="1" customFormat="1" ht="15.75">
      <c r="A16" s="5" t="s">
        <v>2</v>
      </c>
      <c r="B16" s="8">
        <v>18229.919999999998</v>
      </c>
      <c r="C16" s="8">
        <f>((B16-B9)/B9)*100+100</f>
        <v>111.74011941473174</v>
      </c>
    </row>
    <row r="17" spans="1:3" s="1" customFormat="1" ht="15.75">
      <c r="A17" s="5" t="s">
        <v>12</v>
      </c>
      <c r="B17" s="8">
        <v>18496.61</v>
      </c>
      <c r="C17" s="8">
        <f>((B17-B9)/B9)*100+100</f>
        <v>113.37479320631803</v>
      </c>
    </row>
    <row r="18" spans="1:3" s="1" customFormat="1" ht="15.75">
      <c r="A18" s="5" t="s">
        <v>13</v>
      </c>
      <c r="B18" s="8">
        <v>18808.79</v>
      </c>
      <c r="C18" s="8">
        <f>((B18-B9)/B9)*100+100</f>
        <v>115.28829751565625</v>
      </c>
    </row>
    <row r="19" spans="1:3" s="1" customFormat="1" ht="15.75">
      <c r="A19" s="5" t="s">
        <v>18</v>
      </c>
      <c r="B19" s="8">
        <v>19143.580000000002</v>
      </c>
      <c r="C19" s="8">
        <f>((B19-B9)/B9)*100+100</f>
        <v>117.34038960266805</v>
      </c>
    </row>
    <row r="20" spans="1:3" s="1" customFormat="1" ht="15.75">
      <c r="A20" s="5" t="s">
        <v>14</v>
      </c>
      <c r="B20" s="8">
        <v>19878.400000000001</v>
      </c>
      <c r="C20" s="8">
        <f>((B20-B9)/B9)*100+100</f>
        <v>121.84446172960735</v>
      </c>
    </row>
    <row r="21" spans="1:3" s="1" customFormat="1" ht="15.75">
      <c r="A21" s="5" t="s">
        <v>1</v>
      </c>
      <c r="B21" s="8">
        <v>19454.150000000001</v>
      </c>
      <c r="C21" s="8">
        <f>((B21-B9)/B9)*100+100</f>
        <v>119.24402543248152</v>
      </c>
    </row>
    <row r="22" spans="1:3" s="1" customFormat="1" ht="15.75">
      <c r="A22" s="5" t="s">
        <v>19</v>
      </c>
      <c r="B22" s="8">
        <v>19917.86</v>
      </c>
      <c r="C22" s="8">
        <f>((B22-B9)/B9)*100+100</f>
        <v>122.0863314203194</v>
      </c>
    </row>
    <row r="23" spans="1:3" s="1" customFormat="1" ht="15.75">
      <c r="A23" s="5" t="s">
        <v>16</v>
      </c>
      <c r="B23" s="8">
        <v>20472.62</v>
      </c>
      <c r="C23" s="8">
        <f>((B23-B9)/B9)*100+100</f>
        <v>125.48672750798826</v>
      </c>
    </row>
    <row r="24" spans="1:3" s="1" customFormat="1" ht="15.75">
      <c r="A24" s="5" t="s">
        <v>15</v>
      </c>
      <c r="B24" s="8">
        <v>21120.11</v>
      </c>
      <c r="C24" s="8">
        <f>((B24-B9)/B9)*100+100</f>
        <v>129.45551123934007</v>
      </c>
    </row>
    <row r="25" spans="1:3" s="1" customFormat="1" ht="15.75">
      <c r="A25" s="5" t="s">
        <v>17</v>
      </c>
      <c r="B25" s="8">
        <v>21901.32</v>
      </c>
      <c r="C25" s="8">
        <f>((B25-B9)/B9)*100+100</f>
        <v>134.24393042538051</v>
      </c>
    </row>
    <row r="26" spans="1:3" s="1" customFormat="1" ht="15.75">
      <c r="A26" s="5" t="s">
        <v>0</v>
      </c>
      <c r="B26" s="8">
        <v>21166.71</v>
      </c>
      <c r="C26" s="8">
        <f>((B26-B9)/B9)*100+100</f>
        <v>129.74114549142269</v>
      </c>
    </row>
    <row r="27" spans="1:3" s="1" customFormat="1" ht="15.75">
      <c r="A27" s="5" t="s">
        <v>30</v>
      </c>
      <c r="B27" s="8">
        <v>22203.89</v>
      </c>
      <c r="C27" s="8">
        <f>((B27-B9)/B9)*100+100</f>
        <v>136.09853033208967</v>
      </c>
    </row>
    <row r="28" spans="1:3" s="1" customFormat="1" ht="15.75">
      <c r="A28" s="5" t="s">
        <v>31</v>
      </c>
      <c r="B28" s="8">
        <v>24338.14</v>
      </c>
      <c r="C28" s="8">
        <f>((B28-B9)/B9)*100+100</f>
        <v>149.18039519276329</v>
      </c>
    </row>
    <row r="29" spans="1:3" s="1" customFormat="1" ht="15.75">
      <c r="A29" s="5" t="s">
        <v>32</v>
      </c>
      <c r="B29" s="8">
        <v>25377.759999999998</v>
      </c>
      <c r="C29" s="8">
        <f>((B29-B9)/B9)*100+100</f>
        <v>155.55273598997707</v>
      </c>
    </row>
    <row r="30" spans="1:3" s="1" customFormat="1" ht="15.75">
      <c r="A30" s="5" t="s">
        <v>33</v>
      </c>
      <c r="B30" s="8">
        <v>26510.86</v>
      </c>
      <c r="C30" s="8">
        <f>((B30-B9)/B9)*100+100</f>
        <v>162.49806154866479</v>
      </c>
    </row>
    <row r="31" spans="1:3" s="1" customFormat="1" ht="15.75">
      <c r="A31" s="5" t="s">
        <v>34</v>
      </c>
      <c r="B31" s="8">
        <v>28342.720000000001</v>
      </c>
      <c r="C31" s="8">
        <f>((B31-B9)/B9)*100+100</f>
        <v>173.72642981089911</v>
      </c>
    </row>
    <row r="32" spans="1:3" s="1" customFormat="1" ht="15.75">
      <c r="A32" s="5"/>
      <c r="B32" s="8"/>
      <c r="C32" s="8"/>
    </row>
    <row r="33" spans="1:3" s="1" customFormat="1" ht="15.75">
      <c r="A33" s="5"/>
      <c r="B33" s="8"/>
      <c r="C33" s="8"/>
    </row>
    <row r="34" spans="1:3" s="1" customFormat="1" ht="15.75">
      <c r="A34" s="5"/>
      <c r="B34" s="8"/>
      <c r="C34" s="8"/>
    </row>
    <row r="35" spans="1:3" s="1" customFormat="1" ht="15.75">
      <c r="A35" s="5"/>
      <c r="B35" s="8"/>
      <c r="C35" s="8"/>
    </row>
    <row r="36" spans="1:3" s="1" customFormat="1" ht="15.75">
      <c r="A36" s="5"/>
      <c r="B36" s="8"/>
      <c r="C36" s="8"/>
    </row>
    <row r="37" spans="1:3" s="1" customFormat="1" ht="15.75">
      <c r="A37" s="5"/>
      <c r="B37" s="8"/>
      <c r="C37" s="8"/>
    </row>
    <row r="38" spans="1:3" s="1" customFormat="1" ht="15.75">
      <c r="A38" s="5"/>
      <c r="B38" s="8"/>
      <c r="C38" s="8"/>
    </row>
    <row r="39" spans="1:3" s="1" customFormat="1" ht="15.75">
      <c r="A39" s="5"/>
      <c r="B39" s="8"/>
      <c r="C39" s="8"/>
    </row>
    <row r="40" spans="1:3" s="1" customFormat="1" ht="15.75">
      <c r="A40" s="5"/>
      <c r="B40" s="8"/>
      <c r="C4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pers</vt:lpstr>
      <vt:lpstr>Parametri</vt:lpstr>
      <vt:lpstr>'elenco pers'!Area_stampa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2014-11-13T10:14:15Z</cp:lastPrinted>
  <dcterms:created xsi:type="dcterms:W3CDTF">2007-12-27T12:19:30Z</dcterms:created>
  <dcterms:modified xsi:type="dcterms:W3CDTF">2021-05-27T11:13:57Z</dcterms:modified>
</cp:coreProperties>
</file>